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8.xml" ContentType="application/vnd.openxmlformats-officedocument.drawingml.chart+xml"/>
  <Override PartName="/xl/drawings/drawing20.xml" ContentType="application/vnd.openxmlformats-officedocument.drawing+xml"/>
  <Override PartName="/xl/comments2.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D:\Laboratorio\9.Acreditacion\1. Control de documentos\1. Aprobaciones\55. Aprobaciones 2022-08-\2. Formatos\"/>
    </mc:Choice>
  </mc:AlternateContent>
  <bookViews>
    <workbookView xWindow="0" yWindow="0" windowWidth="21600" windowHeight="8625" tabRatio="910" firstSheet="14" activeTab="14"/>
  </bookViews>
  <sheets>
    <sheet name="RESUMEN " sheetId="40" state="hidden" r:id="rId1"/>
    <sheet name="Gradacion " sheetId="34" state="hidden" r:id="rId2"/>
    <sheet name="Desgaste" sheetId="20" state="hidden" r:id="rId3"/>
    <sheet name="Microdeval " sheetId="21" state="hidden" r:id="rId4"/>
    <sheet name="10% De Finos" sheetId="22" state="hidden" r:id="rId5"/>
    <sheet name=" HUMEDAD" sheetId="41" state="hidden" r:id="rId6"/>
    <sheet name="HUMEDAD" sheetId="42" state="hidden" r:id="rId7"/>
    <sheet name="Solidez" sheetId="23" state="hidden" r:id="rId8"/>
    <sheet name="LIMITES" sheetId="24" state="hidden" r:id="rId9"/>
    <sheet name="EQUIVALENTE" sheetId="35" state="hidden" r:id="rId10"/>
    <sheet name="TERRONES DE ARCILLA" sheetId="26" state="hidden" r:id="rId11"/>
    <sheet name="Lavado tamiz N°200" sheetId="36" state="hidden" r:id="rId12"/>
    <sheet name="INV 222-13" sheetId="37" state="hidden" r:id="rId13"/>
    <sheet name="1. Encabezado" sheetId="43" state="hidden" r:id="rId14"/>
    <sheet name="GRAVEDAD" sheetId="38" r:id="rId15"/>
    <sheet name="COLORIMETRIA" sheetId="39" state="hidden" r:id="rId16"/>
    <sheet name="CF - IF " sheetId="27" state="hidden" r:id="rId17"/>
    <sheet name="ANGULARIDAD" sheetId="28" state="hidden" r:id="rId18"/>
    <sheet name="PROCTOR" sheetId="30" state="hidden" r:id="rId19"/>
    <sheet name=" CBR 1" sheetId="29" state="hidden" r:id="rId20"/>
    <sheet name=" CBR (2)" sheetId="31" state="hidden" r:id="rId21"/>
    <sheet name="firmas" sheetId="33" state="hidden" r:id="rId22"/>
    <sheet name="Hoja1" sheetId="32"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_123Graph_A" hidden="1">[1]AIU!$D$338:$D$357</definedName>
    <definedName name="__123Graph_Acaja" hidden="1">[1]EVA!$D$39:$AD$39</definedName>
    <definedName name="__123Graph_ACart_AnticAdic" hidden="1">[1]EVA!$F$95:$I$95</definedName>
    <definedName name="__123Graph_AFACTURAC" hidden="1">[1]Program!$B$120:$Y$120</definedName>
    <definedName name="__123Graph_AGraph2" hidden="1">[1]AIU!$D$338:$D$357</definedName>
    <definedName name="__123Graph_Bcaja" hidden="1">[1]EVA!$D$56:$AD$56</definedName>
    <definedName name="__123Graph_BCart_AnticAdic" hidden="1">[1]EVA!$F$96:$I$96</definedName>
    <definedName name="__123Graph_Ccaja" hidden="1">[1]EVA!$D$58:$AD$58</definedName>
    <definedName name="__123Graph_CCart_AnticAdic" hidden="1">[1]EVA!$F$97:$I$97</definedName>
    <definedName name="__123Graph_Dcaja" hidden="1">[1]EVA!$D$61:$AD$61</definedName>
    <definedName name="__123Graph_DCart_AnticAdic" hidden="1">[1]EVA!$F$99:$I$99</definedName>
    <definedName name="__123Graph_ECart_AnticAdic" hidden="1">[1]EVA!$F$99:$I$99</definedName>
    <definedName name="__123Graph_LBL_ACart_AnticAdic" hidden="1">[1]EVA!$J$95:$K$95</definedName>
    <definedName name="__123Graph_LBL_Ccaja" hidden="1">[1]EVA!$D$58:$AD$58</definedName>
    <definedName name="__123Graph_LBL_DCart_AnticAdic" hidden="1">[1]EVA!$F$98:$I$98</definedName>
    <definedName name="__123Graph_X" hidden="1">[1]AIU!$C$338:$C$357</definedName>
    <definedName name="__123Graph_Xcaja" hidden="1">[1]EVA!$D$6:$AD$6</definedName>
    <definedName name="_1__123Graph_ACart_Utilidad" hidden="1">[1]EVA!$F$104:$I$104</definedName>
    <definedName name="_2__123Graph_BCart_Utilidad" hidden="1">[1]EVA!$F$105:$I$105</definedName>
    <definedName name="_3__123Graph_CCart_Utilidad" hidden="1">[1]EVA!$F$106:$I$106</definedName>
    <definedName name="_4__123Graph_LBL_ACart_Utilidad" hidden="1">[1]EVA!$F$109:$I$109</definedName>
    <definedName name="_5__123Graph_LBL_BCart_Utilidad" hidden="1">[1]EVA!$F$110:$I$110</definedName>
    <definedName name="_6__123Graph_LBL_CCart_Utilidad" hidden="1">[1]EVA!$F$111:$I$111</definedName>
    <definedName name="_7__123Graph_XCart_Utilidad" hidden="1">[1]EVA!$F$103:$I$103</definedName>
    <definedName name="_Fill" localSheetId="20" hidden="1">#REF!</definedName>
    <definedName name="_Fill" localSheetId="5" hidden="1">#REF!</definedName>
    <definedName name="_Fill" localSheetId="13" hidden="1">#REF!</definedName>
    <definedName name="_Fill" localSheetId="15" hidden="1">#REF!</definedName>
    <definedName name="_Fill" localSheetId="9" hidden="1">#REF!</definedName>
    <definedName name="_Fill" localSheetId="14" hidden="1">#REF!</definedName>
    <definedName name="_Fill" localSheetId="6" hidden="1">#REF!</definedName>
    <definedName name="_Fill" localSheetId="12" hidden="1">#REF!</definedName>
    <definedName name="_Fill" localSheetId="11" hidden="1">#REF!</definedName>
    <definedName name="_Fill" localSheetId="18" hidden="1">#REF!</definedName>
    <definedName name="_Fill" hidden="1">#REF!</definedName>
    <definedName name="_Key1" localSheetId="5" hidden="1">[2]OCTUBRE!#REF!</definedName>
    <definedName name="_Key1" localSheetId="13" hidden="1">[3]OCTUBRE!#REF!</definedName>
    <definedName name="_Key1" localSheetId="15" hidden="1">[4]OCTUBRE!#REF!</definedName>
    <definedName name="_Key1" localSheetId="9" hidden="1">[4]OCTUBRE!#REF!</definedName>
    <definedName name="_Key1" localSheetId="14" hidden="1">[5]OCTUBRE!#REF!</definedName>
    <definedName name="_Key1" localSheetId="6" hidden="1">[6]OCTUBRE!#REF!</definedName>
    <definedName name="_Key1" localSheetId="12" hidden="1">[5]OCTUBRE!#REF!</definedName>
    <definedName name="_Key1" localSheetId="11" hidden="1">[7]OCTUBRE!#REF!</definedName>
    <definedName name="_Key1" hidden="1">[7]OCTUBRE!#REF!</definedName>
    <definedName name="_Order1" hidden="1">255</definedName>
    <definedName name="_Order2" hidden="1">255</definedName>
    <definedName name="_Regression_Out" localSheetId="20" hidden="1">[8]L!#REF!</definedName>
    <definedName name="_Regression_Out" localSheetId="19" hidden="1">[8]L!#REF!</definedName>
    <definedName name="_Regression_Out" localSheetId="5" hidden="1">[8]L!#REF!</definedName>
    <definedName name="_Regression_Out" localSheetId="13" hidden="1">[8]L!#REF!</definedName>
    <definedName name="_Regression_Out" localSheetId="17" hidden="1">[8]L!#REF!</definedName>
    <definedName name="_Regression_Out" localSheetId="16" hidden="1">[8]L!#REF!</definedName>
    <definedName name="_Regression_Out" localSheetId="15" hidden="1">[8]L!#REF!</definedName>
    <definedName name="_Regression_Out" localSheetId="2" hidden="1">[8]L!#REF!</definedName>
    <definedName name="_Regression_Out" localSheetId="1" hidden="1">[8]L!#REF!</definedName>
    <definedName name="_Regression_Out" localSheetId="14" hidden="1">[8]L!#REF!</definedName>
    <definedName name="_Regression_Out" localSheetId="6" hidden="1">[8]L!#REF!</definedName>
    <definedName name="_Regression_Out" localSheetId="12" hidden="1">[8]L!#REF!</definedName>
    <definedName name="_Regression_Out" localSheetId="11" hidden="1">[8]L!#REF!</definedName>
    <definedName name="_Regression_Out" localSheetId="8" hidden="1">[8]L!#REF!</definedName>
    <definedName name="_Regression_Out" localSheetId="3" hidden="1">[8]L!#REF!</definedName>
    <definedName name="_Regression_Out" localSheetId="0" hidden="1">[8]L!#REF!</definedName>
    <definedName name="_Regression_Out" localSheetId="7" hidden="1">[8]L!#REF!</definedName>
    <definedName name="_Regression_Out" hidden="1">[8]L!#REF!</definedName>
    <definedName name="_Regression_X" localSheetId="20" hidden="1">#REF!</definedName>
    <definedName name="_Regression_X" localSheetId="19" hidden="1">#REF!</definedName>
    <definedName name="_Regression_X" localSheetId="5" hidden="1">#REF!</definedName>
    <definedName name="_Regression_X" localSheetId="13" hidden="1">#REF!</definedName>
    <definedName name="_Regression_X" localSheetId="16" hidden="1">#REF!</definedName>
    <definedName name="_Regression_X" localSheetId="15" hidden="1">#REF!</definedName>
    <definedName name="_Regression_X" localSheetId="9" hidden="1">#REF!</definedName>
    <definedName name="_Regression_X" localSheetId="1" hidden="1">#REF!</definedName>
    <definedName name="_Regression_X" localSheetId="14" hidden="1">#REF!</definedName>
    <definedName name="_Regression_X" localSheetId="6" hidden="1">#REF!</definedName>
    <definedName name="_Regression_X" localSheetId="12" hidden="1">#REF!</definedName>
    <definedName name="_Regression_X" localSheetId="11" hidden="1">#REF!</definedName>
    <definedName name="_Regression_X" localSheetId="18" hidden="1">#REF!</definedName>
    <definedName name="_Regression_X" hidden="1">#REF!</definedName>
    <definedName name="_Regression_Y" localSheetId="20" hidden="1">#REF!</definedName>
    <definedName name="_Regression_Y" localSheetId="19" hidden="1">#REF!</definedName>
    <definedName name="_Regression_Y" localSheetId="5" hidden="1">#REF!</definedName>
    <definedName name="_Regression_Y" localSheetId="13" hidden="1">#REF!</definedName>
    <definedName name="_Regression_Y" localSheetId="16" hidden="1">#REF!</definedName>
    <definedName name="_Regression_Y" localSheetId="15" hidden="1">#REF!</definedName>
    <definedName name="_Regression_Y" localSheetId="9" hidden="1">#REF!</definedName>
    <definedName name="_Regression_Y" localSheetId="1" hidden="1">#REF!</definedName>
    <definedName name="_Regression_Y" localSheetId="14" hidden="1">#REF!</definedName>
    <definedName name="_Regression_Y" localSheetId="6" hidden="1">#REF!</definedName>
    <definedName name="_Regression_Y" localSheetId="12" hidden="1">#REF!</definedName>
    <definedName name="_Regression_Y" localSheetId="11" hidden="1">#REF!</definedName>
    <definedName name="_Regression_Y" localSheetId="18" hidden="1">#REF!</definedName>
    <definedName name="_Regression_Y" hidden="1">#REF!</definedName>
    <definedName name="_Sort" localSheetId="5" hidden="1">[2]OCTUBRE!#REF!</definedName>
    <definedName name="_Sort" localSheetId="13" hidden="1">[3]OCTUBRE!#REF!</definedName>
    <definedName name="_Sort" localSheetId="15" hidden="1">[4]OCTUBRE!#REF!</definedName>
    <definedName name="_Sort" localSheetId="9" hidden="1">[4]OCTUBRE!#REF!</definedName>
    <definedName name="_Sort" localSheetId="14" hidden="1">[5]OCTUBRE!#REF!</definedName>
    <definedName name="_Sort" localSheetId="6" hidden="1">[6]OCTUBRE!#REF!</definedName>
    <definedName name="_Sort" localSheetId="12" hidden="1">[5]OCTUBRE!#REF!</definedName>
    <definedName name="_Sort" localSheetId="11" hidden="1">[7]OCTUBRE!#REF!</definedName>
    <definedName name="_Sort" hidden="1">[7]OCTUBRE!#REF!</definedName>
    <definedName name="AC" localSheetId="13" hidden="1">#REF!</definedName>
    <definedName name="AC" hidden="1">#REF!</definedName>
    <definedName name="aprobo" localSheetId="13">INDEX([9]firmas!$C$33:$C$35,MATCH('[9]INV 222-13 '!$AA$45:$AJ$45,[9]firmas!$A$33:$A$35,0))</definedName>
    <definedName name="aprobo">INDEX(#REF!,MATCH(#REF!,#REF!,0))</definedName>
    <definedName name="APROBO_A">INDEX([10]firmas!$C$33:$C$35,MATCH([10]ANGULARIDAD!$AK$29,[10]firmas!$A$33:$A$35,0))</definedName>
    <definedName name="Aprobo_firmas">INDEX([11]firmas!$C$39:$C$41,MATCH('[11]Formato '!#REF!,[11]firmas!$A$39:$A$41,0))</definedName>
    <definedName name="Aprobo_Gra_1">INDEX([12]firmas!$C$39:$C$41,MATCH('[12]4. CLASIFICACION M1'!$J$48:$P$48,[12]firmas!$A$39:$A$41,0))</definedName>
    <definedName name="Aprobo_Gra_2">INDEX([12]firmas!$C$39:$C$41,MATCH('[12]8. CLASIFICACION M2'!$J$48:$P$48,[12]firmas!$A$39:$A$41,0))</definedName>
    <definedName name="Aprobo_Gra_3">INDEX([12]firmas!$C$39:$C$41,MATCH('[12]12. CLASIFICACION M3'!$J$48:$P$48,[12]firmas!$A$39:$A$41,0))</definedName>
    <definedName name="aprobofirmas" localSheetId="13">INDEX([13]firmas!$C$33:$C$35,MATCH('[13]LIMITES M3'!$C$52:$E$52,[13]firmas!$A$33:$A$35,0))</definedName>
    <definedName name="aprobofirmas">INDEX(firmas!$C$37:$C$39,MATCH('RESUMEN '!$V$50:$X$50,firmas!$A$37:$A$39,0))</definedName>
    <definedName name="aprobofirmas1" localSheetId="13">INDEX([14]firmas!$C$33:$C$35,MATCH('[14]REG FOTOGRAFICO'!$N$55:$Q$55,[14]firmas!$A$33:$A$35,0))</definedName>
    <definedName name="aprobofirmas1">INDEX([15]firmas!$C$33:$C$35,MATCH('[15]RESUMEN '!$V$45:$X$45,[15]firmas!$A$33:$A$35,0))</definedName>
    <definedName name="aprobofirmas10" localSheetId="13">INDEX([16]firmas!$C$33:$C$35,MATCH('[16]CF - IF '!$Y$43,[16]firmas!$A$33:$A$35,0))</definedName>
    <definedName name="aprobofirmas10" localSheetId="6">INDEX([17]firmas!$C$33:$C$35,MATCH('[17]CF - IF '!$Y$43,[17]firmas!$A$33:$A$35,0))</definedName>
    <definedName name="aprobofirmas10" localSheetId="12">INDEX([18]firmas!$C$33:$C$35,MATCH('[18]CF - IF '!$Y$43,[18]firmas!$A$33:$A$35,0))</definedName>
    <definedName name="aprobofirmas10">INDEX(firmas!$C$37:$C$39,MATCH(EQUIVALENTE!$J$29,firmas!$A$37:$A$39,0))</definedName>
    <definedName name="aprobofirmas11" localSheetId="13">INDEX([16]firmas!$C$33:$C$35,MATCH([16]ANGULARIDAD!$AK$29,[16]firmas!$A$33:$A$35,0))</definedName>
    <definedName name="aprobofirmas11" localSheetId="6">INDEX([17]firmas!$C$33:$C$35,MATCH([17]ANGULARIDAD!$AK$29,[17]firmas!$A$33:$A$35,0))</definedName>
    <definedName name="aprobofirmas11" localSheetId="12">INDEX([18]firmas!$C$33:$C$35,MATCH([18]ANGULARIDAD!$AK$29,[18]firmas!$A$33:$A$35,0))</definedName>
    <definedName name="aprobofirmas11">INDEX(firmas!$C$37:$C$39,MATCH(ANGULARIDAD!$AK$29,firmas!$A$37:$A$39,0))</definedName>
    <definedName name="aprobofirmas12" localSheetId="13">INDEX([16]firmas!$C$33:$C$35,MATCH([16]PROCTOR!$I$42,[16]firmas!$A$33:$A$35,0))</definedName>
    <definedName name="aprobofirmas12" localSheetId="6">INDEX([17]firmas!$C$33:$C$35,MATCH([17]PROCTOR!$I$42,[17]firmas!$A$33:$A$35,0))</definedName>
    <definedName name="aprobofirmas12" localSheetId="12">INDEX([18]firmas!$C$33:$C$35,MATCH([18]PROCTOR!$I$42,[18]firmas!$A$33:$A$35,0))</definedName>
    <definedName name="aprobofirmas12">INDEX(firmas!$C$37:$C$39,MATCH(PROCTOR!$I$42,firmas!$A$37:$A$39,0))</definedName>
    <definedName name="aprobofirmas13" localSheetId="13">INDEX([16]firmas!$C$33:$C$35,MATCH('[16] CBR 1'!$AP$55:$AQ$55,[16]firmas!$A$33:$A$35,0))</definedName>
    <definedName name="aprobofirmas13" localSheetId="6">INDEX([17]firmas!$C$33:$C$35,MATCH('[17] CBR 1'!$AP$55:$AQ$55,[17]firmas!$A$33:$A$35,0))</definedName>
    <definedName name="aprobofirmas13" localSheetId="12">INDEX([18]firmas!$C$33:$C$35,MATCH('[18] CBR 1'!$AP$55:$AQ$55,[18]firmas!$A$33:$A$35,0))</definedName>
    <definedName name="aprobofirmas13">INDEX(firmas!$C$37:$C$39,MATCH(' CBR 1'!$AP$55:$AQ$55,firmas!$A$37:$A$39,0))</definedName>
    <definedName name="aprobofirmas14" localSheetId="13">INDEX([16]firmas!$C$33:$C$35,MATCH('[16] CBR (2)'!$G$55:$H$55,[16]firmas!$A$33:$A$35,0))</definedName>
    <definedName name="aprobofirmas14" localSheetId="6">INDEX([17]firmas!$C$33:$C$35,MATCH('[17] CBR (2)'!$G$55:$H$55,[17]firmas!$A$33:$A$35,0))</definedName>
    <definedName name="aprobofirmas14" localSheetId="12">INDEX([18]firmas!$C$33:$C$35,MATCH('[18] CBR (2)'!$G$55:$H$55,[18]firmas!$A$33:$A$35,0))</definedName>
    <definedName name="aprobofirmas14">INDEX(firmas!$C$37:$C$39,MATCH(' CBR (2)'!$G$55:$H$55,firmas!$A$37:$A$39,0))</definedName>
    <definedName name="aprobofirmas2" localSheetId="13">INDEX([14]firmas!$C$33:$C$35,MATCH('[14]CONO DINAMICO'!$L$57:$O$57,[14]firmas!$A$33:$A$35,0))</definedName>
    <definedName name="aprobofirmas2" localSheetId="6">INDEX([17]firmas!$C$33:$C$35,MATCH('[17]Gradacion '!$Y$55:$AF$55,[17]firmas!$A$33:$A$35,0))</definedName>
    <definedName name="aprobofirmas2" localSheetId="12">INDEX([18]firmas!$C$33:$C$35,MATCH('[18]Gradacion '!$Y$55:$AF$55,[18]firmas!$A$33:$A$35,0))</definedName>
    <definedName name="aprobofirmas2">INDEX(firmas!$C$37:$C$39,MATCH('Gradacion '!$Y$46:$AF$46,firmas!$A$37:$A$39,0))</definedName>
    <definedName name="aprobofirmas3" localSheetId="13">INDEX([14]firmas!$C$33:$C$35,MATCH('[19]CLASIFICACION M1'!$N$61:$P$61,[14]firmas!$A$33:$A$35,0))</definedName>
    <definedName name="aprobofirmas3" localSheetId="6">INDEX([17]firmas!$C$33:$C$35,MATCH([17]Desgaste!$T$38,[17]firmas!$A$33:$A$35,0))</definedName>
    <definedName name="aprobofirmas3" localSheetId="12">INDEX([18]firmas!$C$33:$C$35,MATCH([18]Desgaste!$T$38,[18]firmas!$A$33:$A$35,0))</definedName>
    <definedName name="aprobofirmas3">INDEX(firmas!$C$37:$C$39,MATCH(Desgaste!$T$38,firmas!$A$37:$A$39,0))</definedName>
    <definedName name="aprobofirmas3M1">INDEX([20]firmas!$C$33:$C$35,MATCH('[20]CLASIFICACION M1'!$J$48,[20]firmas!$A$33:$A$35,0))</definedName>
    <definedName name="Aprobofirmas4" localSheetId="13">INDEX([14]firmas!$C$33:$C$35,MATCH(#REF!,[14]firmas!$A$33:$A$35,0))</definedName>
    <definedName name="aprobofirmas4" localSheetId="6">INDEX([17]firmas!$C$33:$C$35,MATCH('[17]Microdeval '!$AC$44,[17]firmas!$A$33:$A$35,0))</definedName>
    <definedName name="aprobofirmas4" localSheetId="12">INDEX([18]firmas!$C$33:$C$35,MATCH('[18]Microdeval '!$AC$44,[18]firmas!$A$33:$A$35,0))</definedName>
    <definedName name="aprobofirmas4">INDEX(firmas!$C$37:$C$39,MATCH('Microdeval '!$AC$44,firmas!$A$37:$A$39,0))</definedName>
    <definedName name="Aprobofirmas5" localSheetId="13">INDEX('1. Encabezado'!$AF$23:$AF$31,MATCH('1. Encabezado'!$N$43,'1. Encabezado'!$AD$23:$AD$31,0))</definedName>
    <definedName name="aprobofirmas5" localSheetId="6">INDEX([17]firmas!$C$33:$C$35,MATCH('[17]10% De Finos'!$I$23:$K$23,[17]firmas!$A$33:$A$35,0))</definedName>
    <definedName name="aprobofirmas5" localSheetId="12">INDEX([18]firmas!$C$33:$C$35,MATCH('[18]10% De Finos'!$I$23:$K$23,[18]firmas!$A$33:$A$35,0))</definedName>
    <definedName name="aprobofirmas5">INDEX(firmas!$C$37:$C$39,MATCH('10% De Finos'!$I$23:$K$23,firmas!$A$37:$A$39,0))</definedName>
    <definedName name="Aprobofirmas6" localSheetId="13">INDEX([14]firmas!$C$33:$C$35,MATCH('[14]CLASIFICACION M2'!$N$61:$P$61,[14]firmas!$A$33:$A$35,0))</definedName>
    <definedName name="aprobofirmas6" localSheetId="6">INDEX([17]firmas!$C$33:$C$35,MATCH(#REF!,[17]firmas!$A$33:$A$35,0))</definedName>
    <definedName name="aprobofirmas6" localSheetId="12">INDEX([18]firmas!$C$33:$C$35,MATCH(#REF!,[18]firmas!$A$33:$A$35,0))</definedName>
    <definedName name="aprobofirmas6">INDEX(firmas!$C$37:$C$39,MATCH(Solidez!$Y$47,firmas!$A$37:$A$39,0))</definedName>
    <definedName name="Aprobofirmas7" localSheetId="13">INDEX([14]firmas!$C$33:$C$35,MATCH('[14]M.O.  M2'!$I$27:$O$27,[14]firmas!$A$33:$A$35,0))</definedName>
    <definedName name="aprobofirmas7" localSheetId="6">INDEX([17]firmas!$C$33:$C$35,MATCH([17]LIMITES!$H$47,[17]firmas!$A$33:$A$35,0))</definedName>
    <definedName name="aprobofirmas7" localSheetId="12">INDEX([18]firmas!$C$33:$C$35,MATCH([18]LIMITES!$H$47,[18]firmas!$A$33:$A$35,0))</definedName>
    <definedName name="aprobofirmas7">INDEX(firmas!$C$37:$C$39,MATCH(LIMITES!$H$47,firmas!$A$37:$A$39,0))</definedName>
    <definedName name="Aprobofirmas8" localSheetId="13">INDEX([14]firmas!$C$33:$C$35,MATCH('[14]CLASIFICACION M3'!$N$61:$P$61,[14]firmas!$A$33:$A$35,0))</definedName>
    <definedName name="aprobofirmas8" localSheetId="6">INDEX([17]firmas!$C$33:$C$35,MATCH([17]EQUIVALENTE!$J$29,[17]firmas!$A$33:$A$35,0))</definedName>
    <definedName name="aprobofirmas8">INDEX([15]firmas!$C$33:$C$35,MATCH([15]EQUIVALENTE!$J$29,[15]firmas!$A$33:$A$35,0))</definedName>
    <definedName name="Aprobofirmas9" localSheetId="13">INDEX([14]firmas!$C$33:$C$35,MATCH('[14]M.O.  M3'!$I$27:$O$27,[14]firmas!$A$33:$A$35,0))</definedName>
    <definedName name="aprobofirmas9" localSheetId="6">INDEX([17]firmas!$C$33:$C$35,MATCH('[17]TERRONES DE ARCILLA'!$I$27:$K$27,[17]firmas!$A$33:$A$35,0))</definedName>
    <definedName name="aprobofirmas9" localSheetId="12">INDEX([18]firmas!$C$33:$C$35,MATCH('[18]TERRONES DE ARCILLA'!$I$27:$K$27,[18]firmas!$A$33:$A$35,0))</definedName>
    <definedName name="aprobofirmas9">INDEX(firmas!$C$37:$C$39,MATCH('TERRONES DE ARCILLA'!$I$27:$K$27,firmas!$A$37:$A$39,0))</definedName>
    <definedName name="aprobofirmasD" localSheetId="13">INDEX([21]firmas!$C$33:$C$35,MATCH('[21]Desgaste '!$T$36:$Z$36,[21]firmas!$A$33:$A$35,0))</definedName>
    <definedName name="aprobofirmasD">INDEX([22]firmas!$C$33:$C$35,MATCH('[22]Desgaste '!$T$36:$Z$36,[22]firmas!$A$33:$A$35,0))</definedName>
    <definedName name="aprobofirmasG" localSheetId="14">INDEX(firmas!$C$37:$C$39,MATCH(GRAVEDAD!#REF!,firmas!$A$37:$A$39,0))</definedName>
    <definedName name="aprobofirmash" localSheetId="5">INDEX(firmas!$C$37:$C$39,MATCH(' HUMEDAD'!$I$31:$K$31,firmas!$A$37:$A$39,0))</definedName>
    <definedName name="aprobofirmasH" localSheetId="6">INDEX(firmas!$C$37:$C$39,MATCH(HUMEDAD!$I$31:$K$31,firmas!$A$37:$A$39,0))</definedName>
    <definedName name="aprobofirmasI" localSheetId="12">INDEX(firmas!$C$34:$C$37,MATCH('INV 222-13'!$AA$45:$AJ$45,firmas!$A$34:$A$37,0))</definedName>
    <definedName name="aprobofirmasL" localSheetId="11">INDEX(firmas!$C$37:$C$39,MATCH('Lavado tamiz N°200'!$H$22:$J$22,firmas!$A$37:$A$39,0))</definedName>
    <definedName name="aprobofirmasMO" localSheetId="13">INDEX([23]firmas!$C$33:$C$35,MATCH([23]COLORIMETRIA!$J$31,[23]firmas!$A$33:$A$35,0))</definedName>
    <definedName name="aprobofirmasMO">INDEX(firmas!$C$37:$C$39,MATCH(COLORIMETRIA!$J$31,firmas!$A$37:$A$39,0))</definedName>
    <definedName name="AproboMO_M2" localSheetId="13">INDEX([13]firmas!$C$31:$C$33,MATCH('[13]M.O.  M2'!$I$29:$O$29,[13]firmas!$A$31:$A$33,0))</definedName>
    <definedName name="AproboMO_M2">INDEX([24]firmas!$C$31:$C$33,MATCH('[24]M.O.  M2'!$I$29:$O$29,[24]firmas!$A$31:$A$33,0))</definedName>
    <definedName name="AproboMO_M3" localSheetId="13">INDEX([13]firmas!$C$31:$C$33,MATCH('[13]M.O.  M3'!$I$29:$O$29,[13]firmas!$A$31:$A$33,0))</definedName>
    <definedName name="AproboMO_M3">INDEX([24]firmas!$C$31:$C$33,MATCH('[24]M.O.  M3'!$I$29:$O$29,[24]firmas!$A$31:$A$33,0))</definedName>
    <definedName name="aprobonombres" localSheetId="5">[25]firmas!$A$33:$A$35</definedName>
    <definedName name="aprobonombres" localSheetId="13">[14]firmas!$A$33:$A$35</definedName>
    <definedName name="aprobonombres" localSheetId="15">[26]firmas!$A$33:$A$35</definedName>
    <definedName name="aprobonombres" localSheetId="14">[27]firmas!$A$33:$A$35</definedName>
    <definedName name="aprobonombres" localSheetId="6">[28]firmas!$A$33:$A$35</definedName>
    <definedName name="aprobonombres" localSheetId="12">[29]firmas!$A$33:$A$35</definedName>
    <definedName name="aprobonombres" localSheetId="11">[30]firmas!$A$33:$A$35</definedName>
    <definedName name="aprobonombres">firmas!$A$37:$A$39</definedName>
    <definedName name="_xlnm.Print_Area" localSheetId="20">' CBR (2)'!$A$1:$H$59</definedName>
    <definedName name="_xlnm.Print_Area" localSheetId="19">' CBR 1'!$AK$1:$AQ$59</definedName>
    <definedName name="_xlnm.Print_Area" localSheetId="5">' HUMEDAD'!$A$1:$K$35</definedName>
    <definedName name="_xlnm.Print_Area" localSheetId="13">'1. Encabezado'!$A$1:$Z$48</definedName>
    <definedName name="_xlnm.Print_Area" localSheetId="4">'10% De Finos'!$A$1:$K$27</definedName>
    <definedName name="_xlnm.Print_Area" localSheetId="17">ANGULARIDAD!$A$1:$AV$33</definedName>
    <definedName name="_xlnm.Print_Area" localSheetId="16">'CF - IF '!$A$1:$AI$47</definedName>
    <definedName name="_xlnm.Print_Area" localSheetId="15">COLORIMETRIA!$A$1:$L$35</definedName>
    <definedName name="_xlnm.Print_Area" localSheetId="2">Desgaste!$A$1:$Z$42</definedName>
    <definedName name="_xlnm.Print_Area" localSheetId="9">EQUIVALENTE!$A$1:$L$33</definedName>
    <definedName name="_xlnm.Print_Area" localSheetId="1">'Gradacion '!$A$1:$AF$50</definedName>
    <definedName name="_xlnm.Print_Area" localSheetId="14">GRAVEDAD!$A$1:$AJ$45</definedName>
    <definedName name="_xlnm.Print_Area" localSheetId="6">HUMEDAD!$A$1:$K$35</definedName>
    <definedName name="_xlnm.Print_Area" localSheetId="12">'INV 222-13'!$A$1:$AJ$49</definedName>
    <definedName name="_xlnm.Print_Area" localSheetId="11">'Lavado tamiz N°200'!$A$1:$J$26</definedName>
    <definedName name="_xlnm.Print_Area" localSheetId="8">LIMITES!$A$1:$J$51</definedName>
    <definedName name="_xlnm.Print_Area" localSheetId="3">'Microdeval '!$A$1:$AJ$48</definedName>
    <definedName name="_xlnm.Print_Area" localSheetId="18">PROCTOR!$A$1:$K$46</definedName>
    <definedName name="_xlnm.Print_Area" localSheetId="0">'RESUMEN '!$A$1:$X$53</definedName>
    <definedName name="_xlnm.Print_Area" localSheetId="7">Solidez!$A$1:$AI$51</definedName>
    <definedName name="ELABORA_A">INDEX([10]firmas!$C$2:$C$26,MATCH([10]ANGULARIDAD!$L$29,[10]firmas!$A$2:$A$26,0))</definedName>
    <definedName name="Elaboro_firmas">INDEX([11]firmas!$C$2:$C$32,MATCH('[11]Formato '!#REF!,[11]firmas!$A$2:$A$32,0))</definedName>
    <definedName name="elaborocargo" localSheetId="13">[14]firmas!$B$11:$B$13</definedName>
    <definedName name="elaborocargo" localSheetId="14">[27]firmas!$B$11:$B$13</definedName>
    <definedName name="elaborocargo" localSheetId="6">[28]firmas!$B$11:$B$13</definedName>
    <definedName name="elaborocargo" localSheetId="12">[29]firmas!$B$11:$B$13</definedName>
    <definedName name="elaborocargo" localSheetId="11">[30]firmas!$B$11:$B$13</definedName>
    <definedName name="elaborocargo">[25]firmas!$B$11:$B$13</definedName>
    <definedName name="elaborofirmas1" localSheetId="13">INDEX([14]firmas!$C$2:$C$26,MATCH('[14]REG FOTOGRAFICO'!$F$55:$I$55,[14]firmas!$A$2:$A$26,0))</definedName>
    <definedName name="elaborofirmas1" localSheetId="6">INDEX([15]firmas!$C$2:$C$26,MATCH('[15]RESUMEN '!$G$45:$O$45,[15]firmas!$A$2:$A$26,0))</definedName>
    <definedName name="elaborofirmas1">INDEX(firmas!$C$2:$C$31,MATCH('RESUMEN '!$G$50:$O$50,firmas!$A$2:$A$31,0))</definedName>
    <definedName name="elaborofirmas10" localSheetId="13">INDEX([16]firmas!$C$2:$C$26,MATCH('[16]CF - IF '!$G$43,[16]firmas!$A$2:$A$26,0))</definedName>
    <definedName name="elaborofirmas10" localSheetId="6">INDEX([17]firmas!$C$2:$C$26,MATCH('[17]CF - IF '!$G$43,[17]firmas!$A$2:$A$26,0))</definedName>
    <definedName name="elaborofirmas10" localSheetId="12">INDEX([18]firmas!$C$2:$C$26,MATCH('[18]CF - IF '!$G$43,[18]firmas!$A$2:$A$26,0))</definedName>
    <definedName name="elaborofirmas10">INDEX(firmas!$C$2:$C$31,MATCH(EQUIVALENTE!$D$29,firmas!$A$2:$A$31,0))</definedName>
    <definedName name="elaborofirmas11" localSheetId="13">INDEX([16]firmas!$C$2:$C$26,MATCH([16]ANGULARIDAD!$L$29,[16]firmas!$A$2:$A$26,0))</definedName>
    <definedName name="elaborofirmas11" localSheetId="6">INDEX([17]firmas!$C$2:$C$26,MATCH([17]ANGULARIDAD!$L$29,[17]firmas!$A$2:$A$26,0))</definedName>
    <definedName name="elaborofirmas11" localSheetId="12">INDEX([18]firmas!$C$2:$C$26,MATCH([18]ANGULARIDAD!$L$29,[18]firmas!$A$2:$A$26,0))</definedName>
    <definedName name="elaborofirmas11">INDEX(firmas!$C$2:$C$31,MATCH(ANGULARIDAD!$L$29,firmas!$A$2:$A$31,0))</definedName>
    <definedName name="elaborofirmas12" localSheetId="13">INDEX([16]firmas!$C$2:$C$26,MATCH([16]PROCTOR!$C$42,[16]firmas!$A$2:$A$26,0))</definedName>
    <definedName name="elaborofirmas12" localSheetId="6">INDEX([17]firmas!$C$2:$C$26,MATCH([17]PROCTOR!$C$42,[17]firmas!$A$2:$A$26,0))</definedName>
    <definedName name="elaborofirmas12" localSheetId="12">INDEX([18]firmas!$C$2:$C$26,MATCH([18]PROCTOR!$C$42,[18]firmas!$A$2:$A$26,0))</definedName>
    <definedName name="elaborofirmas12">INDEX(firmas!$C$2:$C$31,MATCH(PROCTOR!$C$42,firmas!$A$2:$A$31,0))</definedName>
    <definedName name="elaborofirmas13" localSheetId="13">INDEX([16]firmas!$C$2:$C$26,MATCH('[16] CBR 1'!$AL$55:$AM$55,[16]firmas!$A$2:$A$26,0))</definedName>
    <definedName name="elaborofirmas13" localSheetId="6">INDEX([17]firmas!$C$2:$C$26,MATCH('[17] CBR 1'!$AL$55:$AM$55,[17]firmas!$A$2:$A$26,0))</definedName>
    <definedName name="elaborofirmas13" localSheetId="12">INDEX([18]firmas!$C$2:$C$26,MATCH('[18] CBR 1'!$AL$55:$AM$55,[18]firmas!$A$2:$A$26,0))</definedName>
    <definedName name="elaborofirmas13">INDEX(firmas!$C$2:$C$31,MATCH(' CBR 1'!$AL$55:$AM$55,firmas!$A$2:$A$31,0))</definedName>
    <definedName name="elaborofirmas14" localSheetId="13">INDEX([16]firmas!$C$2:$C$26,MATCH('[16] CBR (2)'!$C$55,[16]firmas!$A$2:$A$26,0))</definedName>
    <definedName name="elaborofirmas14" localSheetId="6">INDEX([17]firmas!$C$2:$C$26,MATCH('[17] CBR (2)'!$C$55,[17]firmas!$A$2:$A$26,0))</definedName>
    <definedName name="elaborofirmas14" localSheetId="12">INDEX([18]firmas!$C$2:$C$26,MATCH('[18] CBR (2)'!$C$55,[18]firmas!$A$2:$A$26,0))</definedName>
    <definedName name="elaborofirmas14">INDEX(firmas!$C$2:$C$31,MATCH(' CBR (2)'!$C$55,firmas!$A$2:$A$31,0))</definedName>
    <definedName name="elaborofirmas2" localSheetId="13">INDEX([14]firmas!$C$2:$C$26,MATCH('[14]CONO DINAMICO'!$C$57:$F$57,[14]firmas!$A$2:$A$26,0))</definedName>
    <definedName name="elaborofirmas2" localSheetId="6">INDEX([17]firmas!$C$2:$C$26,MATCH('[17]Gradacion '!$I$55:$P$55,[17]firmas!$A$2:$A$26,0))</definedName>
    <definedName name="elaborofirmas2" localSheetId="12">INDEX([18]firmas!$C$2:$C$26,MATCH('[18]Gradacion '!$I$55:$P$55,[18]firmas!$A$2:$A$26,0))</definedName>
    <definedName name="elaborofirmas2">INDEX(firmas!$C$2:$C$31,MATCH('Gradacion '!$I$46:$P$46,firmas!$A$2:$A$31,0))</definedName>
    <definedName name="elaborofirmas3" localSheetId="13">INDEX([14]firmas!$C$2:$C$26,MATCH('[19]CLASIFICACION M1'!$E$61:$I$61,[14]firmas!$A$2:$A$26,0))</definedName>
    <definedName name="elaborofirmas3" localSheetId="6">INDEX([17]firmas!$C$2:$C$26,MATCH([17]Desgaste!$F$38,[17]firmas!$A$2:$A$26,0))</definedName>
    <definedName name="elaborofirmas3" localSheetId="12">INDEX([18]firmas!$C$2:$C$26,MATCH([18]Desgaste!$F$38,[18]firmas!$A$2:$A$26,0))</definedName>
    <definedName name="elaborofirmas3">INDEX(firmas!$C$2:$C$31,MATCH(Desgaste!$F$38,firmas!$A$2:$A$31,0))</definedName>
    <definedName name="elaborofirmas4" localSheetId="13">INDEX([14]firmas!$C$2:$C$26,MATCH(#REF!,[14]firmas!$A$2:$A$26,0))</definedName>
    <definedName name="elaborofirmas4" localSheetId="6">INDEX([17]firmas!$C$2:$C$26,MATCH('[17]Microdeval '!$I$44,[17]firmas!$A$2:$A$26,0))</definedName>
    <definedName name="elaborofirmas4" localSheetId="12">INDEX([18]firmas!$C$2:$C$26,MATCH('[18]Microdeval '!$I$44,[18]firmas!$A$2:$A$26,0))</definedName>
    <definedName name="elaborofirmas4">INDEX(firmas!$C$2:$C$31,MATCH('Microdeval '!$I$44,firmas!$A$2:$A$31,0))</definedName>
    <definedName name="elaborofirmas5" localSheetId="13">INDEX([14]firmas!$C$2:$C$26,MATCH('1. Encabezado'!#REF!,[14]firmas!$A$2:$A$26,0))</definedName>
    <definedName name="elaborofirmas5" localSheetId="6">INDEX([17]firmas!$C$2:$C$26,MATCH('[17]10% De Finos'!$D$23:$E$23,[17]firmas!$A$2:$A$26,0))</definedName>
    <definedName name="elaborofirmas5" localSheetId="12">INDEX([18]firmas!$C$2:$C$26,MATCH('[18]10% De Finos'!$D$23:$E$23,[18]firmas!$A$2:$A$26,0))</definedName>
    <definedName name="elaborofirmas5">INDEX(firmas!$C$2:$C$31,MATCH('10% De Finos'!$D$23:$E$23,firmas!$A$2:$A$31,0))</definedName>
    <definedName name="elaborofirmas6" localSheetId="13">INDEX([14]firmas!$C$2:$C$26,MATCH('[14]CLASIFICACION M2'!$E$61:$I$61,[14]firmas!$A$2:$A$26,0))</definedName>
    <definedName name="elaborofirmas6" localSheetId="6">INDEX([17]firmas!$C$2:$C$26,MATCH(#REF!,[17]firmas!$A$2:$A$26,0))</definedName>
    <definedName name="elaborofirmas6" localSheetId="12">INDEX([18]firmas!$C$2:$C$26,MATCH(#REF!,[18]firmas!$A$2:$A$26,0))</definedName>
    <definedName name="elaborofirmas6">INDEX(firmas!$C$2:$C$31,MATCH(Solidez!$H$47,firmas!$A$2:$A$31,0))</definedName>
    <definedName name="elaborofirmas7" localSheetId="13">INDEX([14]firmas!$C$2:$C$26,MATCH('[14]M.O.  M2'!$C$27:$E$27,[14]firmas!$A$2:$A$26,0))</definedName>
    <definedName name="elaborofirmas7" localSheetId="6">INDEX([17]firmas!$C$2:$C$26,MATCH([17]LIMITES!$C$47,[17]firmas!$A$2:$A$26,0))</definedName>
    <definedName name="elaborofirmas7" localSheetId="12">INDEX([18]firmas!$C$2:$C$26,MATCH([18]LIMITES!$C$47,[18]firmas!$A$2:$A$26,0))</definedName>
    <definedName name="elaborofirmas7">INDEX(firmas!$C$2:$C$31,MATCH(LIMITES!$C$47,firmas!$A$2:$A$31,0))</definedName>
    <definedName name="elaborofirmas8" localSheetId="13">INDEX([14]firmas!$C$2:$C$26,MATCH('[14]CLASIFICACION M3'!$E$61:$I$61,[14]firmas!$A$2:$A$26,0))</definedName>
    <definedName name="elaborofirmas8" localSheetId="6">INDEX([17]firmas!$C$2:$C$26,MATCH([17]EQUIVALENTE!$D$29,[17]firmas!$A$2:$A$26,0))</definedName>
    <definedName name="elaborofirmas8">INDEX([15]firmas!$C$2:$C$26,MATCH([15]EQUIVALENTE!$D$29,[15]firmas!$A$2:$A$26,0))</definedName>
    <definedName name="elaborofirmas9" localSheetId="13">INDEX([14]firmas!$C$2:$C$26,MATCH('[14]M.O.  M3'!$C$27:$E$27,[14]firmas!$A$2:$A$26,0))</definedName>
    <definedName name="elaborofirmas9" localSheetId="6">INDEX([17]firmas!$C$2:$C$26,MATCH('[17]TERRONES DE ARCILLA'!$C$27:$E$27,[17]firmas!$A$2:$A$26,0))</definedName>
    <definedName name="elaborofirmas9" localSheetId="12">INDEX([18]firmas!$C$2:$C$26,MATCH('[18]TERRONES DE ARCILLA'!$C$27:$E$27,[18]firmas!$A$2:$A$26,0))</definedName>
    <definedName name="elaborofirmas9">INDEX(firmas!$C$2:$C$31,MATCH('TERRONES DE ARCILLA'!$C$27:$E$27,firmas!$A$2:$A$31,0))</definedName>
    <definedName name="elaborofirmasD" localSheetId="13">INDEX([21]firmas!$C$2:$C$26,MATCH('[21]Desgaste '!$F$36:$L$36,[21]firmas!$A$2:$A$26,0))</definedName>
    <definedName name="elaborofirmasD">INDEX([22]firmas!$C$2:$C$26,MATCH('[22]Desgaste '!$F$36:$L$36,[22]firmas!$A$2:$A$26,0))</definedName>
    <definedName name="elaborofirmasG" localSheetId="14">INDEX(firmas!$C$2:$C$31,MATCH(GRAVEDAD!#REF!,firmas!$A$2:$A$31,0))</definedName>
    <definedName name="elaborofirmash" localSheetId="5">INDEX(firmas!$C$2:$C$31,MATCH(' HUMEDAD'!$C$31:$E$31,firmas!$A$2:$A$31,0))</definedName>
    <definedName name="elaborofirmasH" localSheetId="6">INDEX(firmas!$C$2:$C$31,MATCH(HUMEDAD!$C$31:$E$31,firmas!$A$2:$A$31,0))</definedName>
    <definedName name="elaborofirmasI" localSheetId="12">INDEX(firmas!$C$2:$C$31,MATCH('INV 222-13'!$G$45:$P$45,firmas!$A$2:$A$31,0))</definedName>
    <definedName name="elaborofirmasL" localSheetId="11">INDEX(firmas!$C$2:$C$31,MATCH('Lavado tamiz N°200'!$B$22:$D$22,firmas!$A$2:$A$31,0))</definedName>
    <definedName name="elaborofirmasMO" localSheetId="13">INDEX([23]firmas!$C$2:$C$26,MATCH([23]COLORIMETRIA!$D$31,[23]firmas!$A$2:$A$26,0))</definedName>
    <definedName name="elaborofirmasMO">INDEX(firmas!$C$2:$C$31,MATCH(COLORIMETRIA!$D$31,firmas!$A$2:$A$31,0))</definedName>
    <definedName name="ElaboroMO_M2" localSheetId="13">INDEX([13]firmas!$C$2:$C$24,MATCH('[13]M.O.  M2'!$C$29:$E$29,[13]firmas!$A$2:$A$24,0))</definedName>
    <definedName name="ElaboroMO_M2">INDEX([24]firmas!$C$2:$C$24,MATCH('[24]M.O.  M2'!$C$29:$E$29,[24]firmas!$A$2:$A$24,0))</definedName>
    <definedName name="ElaboroMO_M3" localSheetId="13">INDEX([13]firmas!$C$2:$C$24,MATCH('[13]M.O.  M3'!$C$29:$E$29,[13]firmas!$A$2:$A$24,0))</definedName>
    <definedName name="ElaboroMO_M3">INDEX([24]firmas!$C$2:$C$24,MATCH('[24]M.O.  M3'!$C$29:$E$29,[24]firmas!$A$2:$A$24,0))</definedName>
    <definedName name="Elaboronombres" localSheetId="5">[25]firmas!$A$2:$A$26</definedName>
    <definedName name="Elaboronombres" localSheetId="13">[14]firmas!$A$2:$A$26</definedName>
    <definedName name="Elaboronombres" localSheetId="14">[27]firmas!$A$2:$A$26</definedName>
    <definedName name="Elaboronombres" localSheetId="6">[28]firmas!$A$2:$A$26</definedName>
    <definedName name="Elaboronombres" localSheetId="12">[29]firmas!$A$2:$A$26</definedName>
    <definedName name="Elaboronombres" localSheetId="11">[30]firmas!$A$2:$A$26</definedName>
    <definedName name="Elaboronombres">firmas!$A$2:$A$31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KK" localSheetId="13" hidden="1">[7]OCTUBRE!#REF!</definedName>
    <definedName name="KK" localSheetId="15" hidden="1">[7]OCTUBRE!#REF!</definedName>
    <definedName name="KK" localSheetId="21" hidden="1">[7]OCTUBRE!#REF!</definedName>
    <definedName name="KK" localSheetId="14" hidden="1">[5]OCTUBRE!#REF!</definedName>
    <definedName name="KK" localSheetId="6" hidden="1">[7]OCTUBRE!#REF!</definedName>
    <definedName name="KK" localSheetId="12" hidden="1">[5]OCTUBRE!#REF!</definedName>
    <definedName name="KK" localSheetId="11" hidden="1">[7]OCTUBRE!#REF!</definedName>
    <definedName name="KK" hidden="1">[7]OCTUBRE!#REF!</definedName>
    <definedName name="Ojo" localSheetId="5" hidden="1">#REF!</definedName>
    <definedName name="Ojo" localSheetId="13" hidden="1">#REF!</definedName>
    <definedName name="Ojo" localSheetId="15" hidden="1">#REF!</definedName>
    <definedName name="Ojo" localSheetId="9" hidden="1">#REF!</definedName>
    <definedName name="Ojo" localSheetId="14" hidden="1">#REF!</definedName>
    <definedName name="Ojo" localSheetId="6" hidden="1">#REF!</definedName>
    <definedName name="Ojo" localSheetId="12" hidden="1">#REF!</definedName>
    <definedName name="Ojo" hidden="1">#REF!</definedName>
    <definedName name="pendiente" localSheetId="5" hidden="1">#REF!</definedName>
    <definedName name="pendiente" localSheetId="13" hidden="1">#REF!</definedName>
    <definedName name="pendiente" localSheetId="15" hidden="1">#REF!</definedName>
    <definedName name="pendiente" localSheetId="9" hidden="1">#REF!</definedName>
    <definedName name="pendiente" localSheetId="14" hidden="1">#REF!</definedName>
    <definedName name="pendiente" localSheetId="6" hidden="1">#REF!</definedName>
    <definedName name="pendiente" localSheetId="12" hidden="1">#REF!</definedName>
    <definedName name="pendiente" localSheetId="11" hidden="1">#REF!</definedName>
    <definedName name="pendiente" hidden="1">#REF!</definedName>
    <definedName name="realizocargo" localSheetId="13">[14]firmas!$B$28:$B$30</definedName>
    <definedName name="realizocargo">[24]firmas!$B$26:$B$28</definedName>
    <definedName name="REVISO_A">INDEX([10]firmas!$C$28:$C$31,MATCH([10]ANGULARIDAD!$W$29:$X$43,[10]firmas!$A$28:$A$31,0))</definedName>
    <definedName name="Reviso_firmas">INDEX([11]firmas!$C$34:$C$37,MATCH('[11]Formato '!#REF!,[11]firmas!$A$34:$A$37,0))</definedName>
    <definedName name="revisocargo" localSheetId="14">[27]firmas!$B$28:$B$30</definedName>
    <definedName name="revisocargo" localSheetId="6">[28]firmas!$B$28:$B$30</definedName>
    <definedName name="revisocargo" localSheetId="12">[29]firmas!$B$28:$B$30</definedName>
    <definedName name="Revisocargo" localSheetId="11">[30]firmas!$B$28:$B$30</definedName>
    <definedName name="revisocargo">[25]firmas!$B$28:$B$30</definedName>
    <definedName name="revisoea" localSheetId="13">INDEX([14]firmas!$C$28:$C$31,MATCH([14]EQUIVALENTE!$G$29,[14]firmas!$A$28:$A$31,0))</definedName>
    <definedName name="revisoea">INDEX(#REF!,MATCH(#REF!,#REF!,0))</definedName>
    <definedName name="revisofirmas1" localSheetId="13">INDEX([14]firmas!$C$28:$C$31,MATCH('[14]REG FOTOGRAFICO'!$J$55:$M$55,[14]firmas!$A$28:$A$31,0))</definedName>
    <definedName name="revisofirmas1" localSheetId="6">INDEX([15]firmas!$C$28:$C$31,MATCH('[15]RESUMEN '!$P$45:$U$45,[15]firmas!$A$28:$A$31,0))</definedName>
    <definedName name="revisofirmas1">INDEX(firmas!$C$33:$C$35,MATCH('RESUMEN '!$P$50:$U$50,firmas!$A$33:$A$35,0))</definedName>
    <definedName name="revisofirmas10" localSheetId="13">INDEX([16]firmas!$C$28:$C$31,MATCH('[16]CF - IF '!$M$43:$X$43,[16]firmas!$A$28:$A$31,0))</definedName>
    <definedName name="revisofirmas10" localSheetId="6">INDEX([17]firmas!$C$28:$C$31,MATCH('[17]CF - IF '!$M$43:$X$43,[17]firmas!$A$28:$A$31,0))</definedName>
    <definedName name="revisofirmas10" localSheetId="12">INDEX([18]firmas!$C$28:$C$31,MATCH('[18]CF - IF '!$M$43:$X$43,[18]firmas!$A$28:$A$31,0))</definedName>
    <definedName name="revisofirmas10">INDEX(firmas!$C$33:$C$35,MATCH(EQUIVALENTE!$G$29,firmas!$A$33:$A$35,0))</definedName>
    <definedName name="revisofirmas11" localSheetId="13">INDEX([16]firmas!$C$28:$C$31,MATCH([16]ANGULARIDAD!$W$29:$X$43,[16]firmas!$A$28:$A$31,0))</definedName>
    <definedName name="revisofirmas11" localSheetId="6">INDEX([17]firmas!$C$28:$C$31,MATCH([17]ANGULARIDAD!$W$29:$X$43,[17]firmas!$A$28:$A$31,0))</definedName>
    <definedName name="revisofirmas11" localSheetId="12">INDEX([18]firmas!$C$28:$C$31,MATCH([18]ANGULARIDAD!$W$29:$X$43,[18]firmas!$A$28:$A$31,0))</definedName>
    <definedName name="revisofirmas11">INDEX(firmas!$C$33:$C$35,MATCH(ANGULARIDAD!$W$29:$X$43,firmas!$A$33:$A$35,0))</definedName>
    <definedName name="revisofirmas12" localSheetId="13">INDEX([16]firmas!$C$28:$C$31,MATCH([16]PROCTOR!$F$42,[16]firmas!$A$28:$A$31,0))</definedName>
    <definedName name="revisofirmas12" localSheetId="6">INDEX([17]firmas!$C$28:$C$31,MATCH([17]PROCTOR!$F$42,[17]firmas!$A$28:$A$31,0))</definedName>
    <definedName name="revisofirmas12" localSheetId="12">INDEX([18]firmas!$C$28:$C$31,MATCH([18]PROCTOR!$F$42,[18]firmas!$A$28:$A$31,0))</definedName>
    <definedName name="revisofirmas12">INDEX(firmas!$C$33:$C$35,MATCH(PROCTOR!$F$42,firmas!$A$33:$A$35,0))</definedName>
    <definedName name="revisofirmas13" localSheetId="13">INDEX([16]firmas!$C$28:$C$31,MATCH('[16] CBR 1'!$AN$55:$AO$55,[16]firmas!$A$28:$A$31,0))</definedName>
    <definedName name="revisofirmas13" localSheetId="6">INDEX([17]firmas!$C$28:$C$31,MATCH('[17] CBR 1'!$AN$55:$AO$55,[17]firmas!$A$28:$A$31,0))</definedName>
    <definedName name="revisofirmas13" localSheetId="12">INDEX([18]firmas!$C$28:$C$31,MATCH('[18] CBR 1'!$AN$55:$AO$55,[18]firmas!$A$28:$A$31,0))</definedName>
    <definedName name="revisofirmas13">INDEX(firmas!$C$33:$C$35,MATCH(' CBR 1'!$AN$55:$AO$55,firmas!$A$33:$A$35,0))</definedName>
    <definedName name="revisofirmas14" localSheetId="13">INDEX([16]firmas!$C$28:$C$31,MATCH('[16] CBR (2)'!$E$55:$F$55,[16]firmas!$A$28:$A$31,0))</definedName>
    <definedName name="revisofirmas14" localSheetId="6">INDEX([17]firmas!$C$28:$C$31,MATCH('[17] CBR (2)'!$E$55:$F$55,[17]firmas!$A$28:$A$31,0))</definedName>
    <definedName name="revisofirmas14" localSheetId="12">INDEX([18]firmas!$C$28:$C$31,MATCH('[18] CBR (2)'!$E$55:$F$55,[18]firmas!$A$28:$A$31,0))</definedName>
    <definedName name="revisofirmas14">INDEX(firmas!$C$33:$C$35,MATCH(' CBR (2)'!$E$55:$F$55,firmas!$A$33:$A$35,0))</definedName>
    <definedName name="revisofirmas2" localSheetId="13">INDEX([14]firmas!$C$28:$C$31,MATCH('[14]CONO DINAMICO'!$G$57:$K$57,[14]firmas!$A$28:$A$31,0))</definedName>
    <definedName name="revisofirmas2" localSheetId="6">INDEX([17]firmas!$C$28:$C$31,MATCH('[17]Gradacion '!$Q$55:$X$55,[17]firmas!$A$28:$A$31,0))</definedName>
    <definedName name="revisofirmas2" localSheetId="12">INDEX([18]firmas!$C$28:$C$31,MATCH('[18]Gradacion '!$Q$55:$X$55,[18]firmas!$A$28:$A$31,0))</definedName>
    <definedName name="revisofirmas2">INDEX(firmas!$C$33:$C$35,MATCH('Gradacion '!$Q$46:$X$46,firmas!$A$33:$A$35,0))</definedName>
    <definedName name="revisofirmas3" localSheetId="13">INDEX([14]firmas!$C$28:$C$31,MATCH('[19]CLASIFICACION M1'!$J$61:$M$61,[14]firmas!$A$28:$A$31,0))</definedName>
    <definedName name="revisofirmas3" localSheetId="6">INDEX([17]firmas!$C$28:$C$31,MATCH([17]Desgaste!$L$38,[17]firmas!$A$28:$A$31,0))</definedName>
    <definedName name="revisofirmas3" localSheetId="12">INDEX([18]firmas!$C$28:$C$31,MATCH([18]Desgaste!$L$38,[18]firmas!$A$28:$A$31,0))</definedName>
    <definedName name="revisofirmas3">INDEX(firmas!$C$33:$C$35,MATCH(Desgaste!$L$38,firmas!$A$33:$A$35,0))</definedName>
    <definedName name="revisofirmas4" localSheetId="13">INDEX([14]firmas!$C$28:$C$31,MATCH(#REF!,[14]firmas!$A$28:$A$31,0))</definedName>
    <definedName name="revisofirmas4" localSheetId="6">INDEX([17]firmas!$C$28:$C$31,MATCH('[17]Microdeval '!$R$44,[17]firmas!$A$28:$A$31,0))</definedName>
    <definedName name="revisofirmas4" localSheetId="12">INDEX([18]firmas!$C$28:$C$31,MATCH('[18]Microdeval '!$R$44,[18]firmas!$A$28:$A$31,0))</definedName>
    <definedName name="revisofirmas4">INDEX(firmas!$C$33:$C$35,MATCH('Microdeval '!$R$44,firmas!$A$33:$A$35,0))</definedName>
    <definedName name="revisofirmas5" localSheetId="13">INDEX('1. Encabezado'!$AF$8:$AF$19,MATCH('1. Encabezado'!$A$43,'1. Encabezado'!$AD$8:$AD$17,0))</definedName>
    <definedName name="revisofirmas5" localSheetId="6">INDEX([17]firmas!$C$28:$C$31,MATCH('[17]10% De Finos'!$F$23,[17]firmas!$A$28:$A$31,0))</definedName>
    <definedName name="revisofirmas5" localSheetId="12">INDEX([18]firmas!$C$28:$C$31,MATCH('[18]10% De Finos'!$F$23,[18]firmas!$A$28:$A$31,0))</definedName>
    <definedName name="revisofirmas5">INDEX(firmas!$C$33:$C$35,MATCH('10% De Finos'!$F$23,firmas!$A$33:$A$35,0))</definedName>
    <definedName name="revisofirmas6" localSheetId="13">INDEX([14]firmas!$C$28:$C$31,MATCH('[14]CLASIFICACION M2'!$J$61:$M$61,[14]firmas!$A$28:$A$31,0))</definedName>
    <definedName name="revisofirmas6" localSheetId="6">INDEX([17]firmas!$C$28:$C$31,MATCH(#REF!,[17]firmas!$A$28:$A$31,0))</definedName>
    <definedName name="revisofirmas6" localSheetId="12">INDEX([18]firmas!$C$28:$C$31,MATCH(#REF!,[18]firmas!$A$28:$A$31,0))</definedName>
    <definedName name="revisofirmas6">INDEX(firmas!$C$33:$C$35,MATCH(Solidez!$Q$47,firmas!$A$33:$A$35,0))</definedName>
    <definedName name="revisofirmas7" localSheetId="13">INDEX([14]firmas!$C$28:$C$31,MATCH('[14]M.O.  M2'!$F$27:$H$27,[14]firmas!$A$28:$A$31,0))</definedName>
    <definedName name="revisofirmas7" localSheetId="6">INDEX([17]firmas!$C$28:$C$31,MATCH([17]LIMITES!$F$47,[17]firmas!$A$28:$A$31,0))</definedName>
    <definedName name="revisofirmas7" localSheetId="12">INDEX([18]firmas!$C$28:$C$31,MATCH([18]LIMITES!$F$47,[18]firmas!$A$28:$A$31,0))</definedName>
    <definedName name="revisofirmas7">INDEX(firmas!$C$33:$C$35,MATCH(LIMITES!$F$47,firmas!$A$33:$A$35,0))</definedName>
    <definedName name="revisofirmas8" localSheetId="13">INDEX([14]firmas!$C$28:$C$31,MATCH('[14]CLASIFICACION M3'!$J$61:$M$61,[14]firmas!$A$28:$A$31,0))</definedName>
    <definedName name="revisofirmas8" localSheetId="6">INDEX([17]firmas!$C$28:$C$31,MATCH([17]EQUIVALENTE!$G$29,[17]firmas!$A$28:$A$31,0))</definedName>
    <definedName name="revisofirmas8">INDEX([15]firmas!$C$28:$C$31,MATCH([15]EQUIVALENTE!$G$29,[15]firmas!$A$28:$A$31,0))</definedName>
    <definedName name="revisofirmas9" localSheetId="13">INDEX([14]firmas!$C$28:$C$31,MATCH('[14]M.O.  M3'!$F$27:$H$27,[14]firmas!$A$28:$A$31,0))</definedName>
    <definedName name="revisofirmas9" localSheetId="6">INDEX([17]firmas!$C$28:$C$31,MATCH('[17]TERRONES DE ARCILLA'!$F$27,[17]firmas!$A$28:$A$31,0))</definedName>
    <definedName name="revisofirmas9" localSheetId="12">INDEX([18]firmas!$C$28:$C$31,MATCH('[18]TERRONES DE ARCILLA'!$F$27,[18]firmas!$A$28:$A$31,0))</definedName>
    <definedName name="revisofirmas9">INDEX(firmas!$C$33:$C$35,MATCH('TERRONES DE ARCILLA'!$F$27,firmas!$A$33:$A$35,0))</definedName>
    <definedName name="revisofirmasD" localSheetId="13">INDEX([21]firmas!$C$28:$C$31,MATCH('[21]Desgaste '!$M$36:$S$36,[21]firmas!$A$28:$A$31,0))</definedName>
    <definedName name="revisofirmasD">INDEX([22]firmas!$C$28:$C$31,MATCH('[22]Desgaste '!$M$36:$S$36,[22]firmas!$A$28:$A$31,0))</definedName>
    <definedName name="revisofirmasG" localSheetId="14">INDEX(firmas!$C$33:$C$35,MATCH(GRAVEDAD!#REF!,firmas!$A$33:$A$35,0))</definedName>
    <definedName name="revisofirmash" localSheetId="5">INDEX(firmas!$C$33:$C$35,MATCH(' HUMEDAD'!$F$31:$H$31,firmas!$A$33:$A$35,0))</definedName>
    <definedName name="revisofirmasH" localSheetId="13">INDEX([31]firmas!$C$28:$C$31,MATCH(#REF!,[31]firmas!$A$28:$A$31,0))</definedName>
    <definedName name="revisofirmasH" localSheetId="6">INDEX(firmas!$C$33:$C$35,MATCH(HUMEDAD!$F$31:$H$31,firmas!$A$33:$A$35,0))</definedName>
    <definedName name="revisofirmasH">INDEX([31]firmas!$C$28:$C$31,MATCH(#REF!,[31]firmas!$A$28:$A$31,0))</definedName>
    <definedName name="revisofirmasI" localSheetId="12">INDEX(firmas!$C$33:$C$35,MATCH('INV 222-13'!$Q$45:$Z$45,firmas!$A$33:$A$35,0))</definedName>
    <definedName name="revisofirmasL" localSheetId="11">INDEX(firmas!$C$33:$C$35,MATCH('Lavado tamiz N°200'!$E$22:$G$22,firmas!$A$33:$A$35,0))</definedName>
    <definedName name="revisofirmasMO" localSheetId="13">INDEX([23]firmas!$C$28:$C$31,MATCH([23]COLORIMETRIA!$G$31,[23]firmas!$A$28:$A$31,0))</definedName>
    <definedName name="revisofirmasMO">INDEX(firmas!$C$33:$C$35,MATCH(COLORIMETRIA!$G$31,firmas!$A$33:$A$35,0))</definedName>
    <definedName name="RevisoMO_M2" localSheetId="13">INDEX([13]firmas!$C$26:$C$29,MATCH('[13]M.O.  M2'!$F$29:$H$29,[13]firmas!$A$26:$A$29,0))</definedName>
    <definedName name="RevisoMO_M2">INDEX([24]firmas!$C$26:$C$29,MATCH('[24]M.O.  M2'!$F$29:$H$29,[24]firmas!$A$26:$A$29,0))</definedName>
    <definedName name="RevisoMO_M3" localSheetId="13">INDEX([13]firmas!$C$26:$C$29,MATCH('[13]M.O.  M3'!$F$29:$H$29,[13]firmas!$A$26:$A$29,0))</definedName>
    <definedName name="RevisoMO_M3">INDEX([24]firmas!$C$26:$C$29,MATCH('[24]M.O.  M3'!$F$29:$H$29,[24]firmas!$A$26:$A$29,0))</definedName>
    <definedName name="revisonombres" localSheetId="5">[25]firmas!$A$28:$A$31</definedName>
    <definedName name="revisonombres" localSheetId="13">[14]firmas!$A$28:$A$31</definedName>
    <definedName name="revisonombres" localSheetId="14">[27]firmas!$A$28:$A$31</definedName>
    <definedName name="revisonombres" localSheetId="6">[28]firmas!$A$28:$A$31</definedName>
    <definedName name="revisonombres" localSheetId="12">[29]firmas!$A$28:$A$31</definedName>
    <definedName name="revisonombres" localSheetId="11">[30]firmas!$A$28:$A$31</definedName>
    <definedName name="revisonombres">firmas!$A$33:$A$35</definedName>
    <definedName name="VARGAS_PABLO">'[11]Formato '!#REF!</definedName>
  </definedNames>
  <calcPr calcId="162913"/>
  <customWorkbookViews>
    <customWorkbookView name="Bernardo Valderrama - Vista personalizada" guid="{F1901233-A0CA-4ED4-999B-866A13B1821D}" mergeInterval="0" personalView="1" maximized="1" windowWidth="1356" windowHeight="542" tabRatio="796" activeSheetId="2"/>
  </customWorkbookViews>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36" i="43" l="1"/>
  <c r="AD36" i="43"/>
  <c r="AK10" i="38" l="1"/>
  <c r="AB7" i="38"/>
  <c r="AC8" i="38" s="1"/>
  <c r="AS49" i="43"/>
  <c r="AY49" i="43" s="1"/>
  <c r="AS48" i="43"/>
  <c r="AY48" i="43" s="1"/>
  <c r="AS47" i="43"/>
  <c r="AY47" i="43" s="1"/>
  <c r="AS46" i="43"/>
  <c r="AY46" i="43" s="1"/>
  <c r="AS45" i="43"/>
  <c r="AY45" i="43" s="1"/>
  <c r="AS44" i="43"/>
  <c r="AY44" i="43" s="1"/>
  <c r="A44" i="43"/>
  <c r="AE41" i="43"/>
  <c r="AE40" i="43"/>
  <c r="AD40" i="43"/>
  <c r="N44" i="43" s="1"/>
  <c r="AS34" i="43"/>
  <c r="AY34" i="43" s="1"/>
  <c r="AS33" i="43"/>
  <c r="AY33" i="43" s="1"/>
  <c r="AS32" i="43"/>
  <c r="AY32" i="43" s="1"/>
  <c r="AS31" i="43"/>
  <c r="AY31" i="43" s="1"/>
  <c r="AS30" i="43"/>
  <c r="AY30" i="43" s="1"/>
  <c r="AS29" i="43"/>
  <c r="AY29" i="43" s="1"/>
  <c r="I29" i="43"/>
  <c r="AS28" i="43"/>
  <c r="AY28" i="43" s="1"/>
  <c r="AS27" i="43"/>
  <c r="AY27" i="43" s="1"/>
  <c r="AS26" i="43"/>
  <c r="AY26" i="43" s="1"/>
  <c r="AS25" i="43"/>
  <c r="AY25" i="43" s="1"/>
  <c r="AS24" i="43"/>
  <c r="AY24" i="43" s="1"/>
  <c r="B24" i="43"/>
  <c r="AS23" i="43"/>
  <c r="AY23" i="43" s="1"/>
  <c r="B23" i="43"/>
  <c r="AS22" i="43"/>
  <c r="AY22" i="43" s="1"/>
  <c r="P22" i="43"/>
  <c r="K22" i="43"/>
  <c r="B22" i="43"/>
  <c r="AT21" i="43"/>
  <c r="AS21" i="43"/>
  <c r="AY21" i="43" s="1"/>
  <c r="B21" i="43"/>
  <c r="AT20" i="43"/>
  <c r="AS20" i="43"/>
  <c r="AY20" i="43" s="1"/>
  <c r="AT19" i="43"/>
  <c r="AS19" i="43"/>
  <c r="AY19" i="43" s="1"/>
  <c r="B19" i="43"/>
  <c r="AU18" i="43"/>
  <c r="AT18" i="43"/>
  <c r="AS18" i="43"/>
  <c r="AY18" i="43" s="1"/>
  <c r="AD21" i="43"/>
  <c r="AD39" i="43" s="1"/>
  <c r="B18" i="43"/>
  <c r="AZ17" i="43"/>
  <c r="AU17" i="43"/>
  <c r="AT17" i="43"/>
  <c r="AS17" i="43"/>
  <c r="AY17" i="43" s="1"/>
  <c r="B17" i="43"/>
  <c r="BK16" i="43"/>
  <c r="BJ16" i="43"/>
  <c r="BI16" i="43"/>
  <c r="BH16" i="43"/>
  <c r="BG16" i="43"/>
  <c r="BE16" i="43"/>
  <c r="BD16" i="43"/>
  <c r="BC16" i="43"/>
  <c r="AZ16" i="43"/>
  <c r="AT16" i="43"/>
  <c r="AS16" i="43"/>
  <c r="AY16" i="43" s="1"/>
  <c r="AL16" i="43"/>
  <c r="AS43" i="43" s="1"/>
  <c r="AY43" i="43" s="1"/>
  <c r="B16" i="43"/>
  <c r="BJ15" i="43"/>
  <c r="BI15" i="43"/>
  <c r="BH15" i="43"/>
  <c r="BG15" i="43"/>
  <c r="BE15" i="43"/>
  <c r="BD15" i="43"/>
  <c r="BC15" i="43"/>
  <c r="AZ15" i="43"/>
  <c r="AT15" i="43"/>
  <c r="AS15" i="43"/>
  <c r="AY15" i="43" s="1"/>
  <c r="AL15" i="43"/>
  <c r="AS42" i="43" s="1"/>
  <c r="AY42" i="43" s="1"/>
  <c r="BJ14" i="43"/>
  <c r="BI14" i="43"/>
  <c r="BH14" i="43"/>
  <c r="BG14" i="43"/>
  <c r="BE14" i="43"/>
  <c r="BC14" i="43"/>
  <c r="AZ14" i="43"/>
  <c r="AT14" i="43"/>
  <c r="AS14" i="43"/>
  <c r="AY14" i="43" s="1"/>
  <c r="AL14" i="43"/>
  <c r="AU14" i="43" s="1"/>
  <c r="BJ13" i="43"/>
  <c r="BI13" i="43"/>
  <c r="BH13" i="43"/>
  <c r="BG13" i="43"/>
  <c r="BD13" i="43"/>
  <c r="BC13" i="43"/>
  <c r="AZ13" i="43"/>
  <c r="AT13" i="43"/>
  <c r="AS13" i="43"/>
  <c r="AY13" i="43" s="1"/>
  <c r="AL13" i="43"/>
  <c r="AS40" i="43" s="1"/>
  <c r="AY40" i="43" s="1"/>
  <c r="BL12" i="43"/>
  <c r="B20" i="43" s="1"/>
  <c r="BK12" i="43"/>
  <c r="BJ12" i="43"/>
  <c r="BI12" i="43"/>
  <c r="BH12" i="43"/>
  <c r="BG12" i="43"/>
  <c r="BE12" i="43"/>
  <c r="AZ12" i="43"/>
  <c r="AT12" i="43"/>
  <c r="AS12" i="43"/>
  <c r="AY12" i="43" s="1"/>
  <c r="AL12" i="43"/>
  <c r="AU12" i="43" s="1"/>
  <c r="I12" i="43"/>
  <c r="BK11" i="43"/>
  <c r="BE11" i="43"/>
  <c r="BC11" i="43"/>
  <c r="AZ11" i="43"/>
  <c r="AT11" i="43"/>
  <c r="AS11" i="43"/>
  <c r="AY11" i="43" s="1"/>
  <c r="AL11" i="43"/>
  <c r="AS38" i="43" s="1"/>
  <c r="AY38" i="43" s="1"/>
  <c r="BJ10" i="43"/>
  <c r="BI10" i="43"/>
  <c r="AZ10" i="43"/>
  <c r="AX10" i="43"/>
  <c r="AW10" i="43"/>
  <c r="AT10" i="43"/>
  <c r="AS10" i="43"/>
  <c r="AY10" i="43" s="1"/>
  <c r="AL10" i="43"/>
  <c r="AS37" i="43" s="1"/>
  <c r="AY37" i="43" s="1"/>
  <c r="AZ9" i="43"/>
  <c r="AX9" i="43"/>
  <c r="AW9" i="43"/>
  <c r="AU9" i="43"/>
  <c r="AT9" i="43"/>
  <c r="AS9" i="43"/>
  <c r="AY9" i="43" s="1"/>
  <c r="AL9" i="43"/>
  <c r="AS36" i="43" s="1"/>
  <c r="AY36" i="43" s="1"/>
  <c r="AZ8" i="43"/>
  <c r="AX8" i="43"/>
  <c r="AW8" i="43"/>
  <c r="AV8" i="43"/>
  <c r="AT8" i="43"/>
  <c r="AS8" i="43"/>
  <c r="AY8" i="43" s="1"/>
  <c r="AL8" i="43"/>
  <c r="AS35" i="43" s="1"/>
  <c r="AY35" i="43" s="1"/>
  <c r="AB8" i="43"/>
  <c r="V8" i="43"/>
  <c r="BM7" i="43"/>
  <c r="BL7" i="43"/>
  <c r="BK7" i="43"/>
  <c r="BJ7" i="43"/>
  <c r="BI7" i="43"/>
  <c r="BH7" i="43"/>
  <c r="BG7" i="43"/>
  <c r="BF7" i="43"/>
  <c r="BE7" i="43"/>
  <c r="BD7" i="43"/>
  <c r="BC7" i="43"/>
  <c r="AS7" i="43"/>
  <c r="AY3" i="43" s="1"/>
  <c r="AR7" i="43"/>
  <c r="AQ7" i="43"/>
  <c r="AP7" i="43"/>
  <c r="AO7" i="43"/>
  <c r="AN7" i="43"/>
  <c r="AM7" i="43"/>
  <c r="AW3" i="43" s="1"/>
  <c r="AL7" i="43"/>
  <c r="AK7" i="43"/>
  <c r="AJ7" i="43"/>
  <c r="AV3" i="43" s="1"/>
  <c r="AI7" i="43"/>
  <c r="BB6" i="43"/>
  <c r="AI6" i="43"/>
  <c r="AD6" i="43"/>
  <c r="AD33" i="43" s="1"/>
  <c r="AC6" i="43"/>
  <c r="AA6" i="43"/>
  <c r="AZ3" i="43"/>
  <c r="AX3" i="43"/>
  <c r="AT2" i="43"/>
  <c r="AT3" i="43" l="1"/>
  <c r="AU11" i="43"/>
  <c r="AU3" i="43"/>
  <c r="AK8" i="38"/>
  <c r="AU10" i="43"/>
  <c r="AU16" i="43"/>
  <c r="AU8" i="43"/>
  <c r="AS39" i="43"/>
  <c r="AY39" i="43" s="1"/>
  <c r="AS41" i="43"/>
  <c r="AY41" i="43" s="1"/>
  <c r="AU13" i="43"/>
  <c r="AU15" i="43"/>
  <c r="AA22" i="38" l="1"/>
  <c r="U22" i="38"/>
  <c r="V34" i="38"/>
  <c r="V30" i="38" l="1"/>
  <c r="G20" i="38" l="1"/>
  <c r="I22" i="35" l="1"/>
  <c r="G22" i="35"/>
  <c r="F32" i="42" l="1"/>
  <c r="X16" i="40" l="1"/>
  <c r="Y76" i="34" l="1"/>
  <c r="Q76" i="34"/>
  <c r="Y75" i="34"/>
  <c r="Q75" i="34"/>
  <c r="Y74" i="34"/>
  <c r="Q74" i="34"/>
  <c r="Y73" i="34"/>
  <c r="Q73" i="34"/>
  <c r="Y72" i="34"/>
  <c r="Q72" i="34"/>
  <c r="Y71" i="34"/>
  <c r="Q71" i="34"/>
  <c r="Y70" i="34"/>
  <c r="Q70" i="34"/>
  <c r="Y69" i="34"/>
  <c r="Q69" i="34"/>
  <c r="Y68" i="34"/>
  <c r="Q68" i="34"/>
  <c r="Y67" i="34"/>
  <c r="Q67" i="34"/>
  <c r="Q66" i="34"/>
  <c r="Q65" i="34"/>
  <c r="Q64" i="34"/>
  <c r="Q63" i="34"/>
  <c r="Y62" i="34"/>
  <c r="Q62" i="34"/>
  <c r="Y61" i="34"/>
  <c r="Q61" i="34"/>
  <c r="Y60" i="34"/>
  <c r="Q60" i="34"/>
  <c r="Y59" i="34"/>
  <c r="Q59" i="34"/>
  <c r="Y58" i="34"/>
  <c r="Q58" i="34"/>
  <c r="Y57" i="34"/>
  <c r="Q57" i="34"/>
  <c r="Y56" i="34"/>
  <c r="Q56" i="34"/>
  <c r="Y55" i="34"/>
  <c r="U55" i="34"/>
  <c r="Q55" i="34"/>
  <c r="X42" i="40" l="1"/>
  <c r="J12" i="42" l="1"/>
  <c r="J10" i="42"/>
  <c r="G12" i="42"/>
  <c r="D10" i="42"/>
  <c r="D9" i="42"/>
  <c r="D8" i="42"/>
  <c r="D6" i="42"/>
  <c r="J9" i="42" s="1"/>
  <c r="I32" i="42"/>
  <c r="C32" i="42"/>
  <c r="H26" i="42"/>
  <c r="T14" i="40" s="1"/>
  <c r="P21" i="42"/>
  <c r="D12" i="42"/>
  <c r="D7" i="42" l="1"/>
  <c r="J8" i="42"/>
  <c r="J7" i="42"/>
  <c r="J9" i="26"/>
  <c r="J7" i="26"/>
  <c r="F8" i="26"/>
  <c r="F7" i="26"/>
  <c r="B9" i="26"/>
  <c r="B8" i="26"/>
  <c r="B7" i="26"/>
  <c r="B6" i="26"/>
  <c r="AB9" i="23"/>
  <c r="AB7" i="23"/>
  <c r="N8" i="23"/>
  <c r="N7" i="23"/>
  <c r="E9" i="23"/>
  <c r="E8" i="23"/>
  <c r="E7" i="23"/>
  <c r="E6" i="23"/>
  <c r="C28" i="26" l="1"/>
  <c r="F28" i="26"/>
  <c r="I28" i="26"/>
  <c r="J20" i="26"/>
  <c r="J18" i="26"/>
  <c r="J17" i="26"/>
  <c r="J16" i="26"/>
  <c r="Y48" i="23"/>
  <c r="Q48" i="23"/>
  <c r="H48" i="23"/>
  <c r="AG41" i="23"/>
  <c r="AA41" i="23"/>
  <c r="Y41" i="23"/>
  <c r="S41" i="23"/>
  <c r="O41" i="23"/>
  <c r="AC35" i="23"/>
  <c r="W33" i="23"/>
  <c r="W31" i="23"/>
  <c r="W29" i="23"/>
  <c r="E23" i="23"/>
  <c r="J21" i="26" l="1"/>
  <c r="P21" i="41"/>
  <c r="E8" i="36" l="1"/>
  <c r="Y47" i="34"/>
  <c r="Q47" i="34"/>
  <c r="I47" i="34"/>
  <c r="A76" i="34"/>
  <c r="AG66" i="34"/>
  <c r="A65" i="34"/>
  <c r="E65" i="34" s="1"/>
  <c r="A63" i="34"/>
  <c r="E63" i="34" s="1"/>
  <c r="AH45" i="34"/>
  <c r="AK44" i="34"/>
  <c r="AK43" i="34"/>
  <c r="A43" i="34"/>
  <c r="AK42" i="34"/>
  <c r="AK41" i="34"/>
  <c r="AK40" i="34"/>
  <c r="AK39" i="34"/>
  <c r="AK38" i="34"/>
  <c r="AK37" i="34"/>
  <c r="AK36" i="34"/>
  <c r="AK35" i="34"/>
  <c r="Y26" i="34"/>
  <c r="AC24" i="34"/>
  <c r="Y24" i="34"/>
  <c r="AC23" i="34"/>
  <c r="Y23" i="34"/>
  <c r="AM44" i="34" s="1"/>
  <c r="A23" i="34"/>
  <c r="AJ44" i="34" s="1"/>
  <c r="AC22" i="34"/>
  <c r="Y22" i="34"/>
  <c r="AM43" i="34" s="1"/>
  <c r="A22" i="34"/>
  <c r="I22" i="34" s="1"/>
  <c r="AC21" i="34"/>
  <c r="AN42" i="34" s="1"/>
  <c r="Y21" i="34"/>
  <c r="AM42" i="34" s="1"/>
  <c r="A21" i="34"/>
  <c r="AJ42" i="34" s="1"/>
  <c r="AC20" i="34"/>
  <c r="AN41" i="34" s="1"/>
  <c r="Y20" i="34"/>
  <c r="AM41" i="34" s="1"/>
  <c r="A20" i="34"/>
  <c r="AJ41" i="34" s="1"/>
  <c r="AC19" i="34"/>
  <c r="AN40" i="34" s="1"/>
  <c r="Y19" i="34"/>
  <c r="AM40" i="34" s="1"/>
  <c r="A19" i="34"/>
  <c r="AJ40" i="34" s="1"/>
  <c r="AC18" i="34"/>
  <c r="AN39" i="34" s="1"/>
  <c r="Y18" i="34"/>
  <c r="AM39" i="34" s="1"/>
  <c r="A18" i="34"/>
  <c r="AJ39" i="34" s="1"/>
  <c r="AC17" i="34"/>
  <c r="AN38" i="34" s="1"/>
  <c r="Y17" i="34"/>
  <c r="AM38" i="34" s="1"/>
  <c r="A17" i="34"/>
  <c r="AJ38" i="34" s="1"/>
  <c r="BG16" i="34"/>
  <c r="AC16" i="34"/>
  <c r="AN37" i="34" s="1"/>
  <c r="Y16" i="34"/>
  <c r="AM37" i="34" s="1"/>
  <c r="A16" i="34"/>
  <c r="AJ37" i="34" s="1"/>
  <c r="BG15" i="34"/>
  <c r="AC15" i="34"/>
  <c r="AN36" i="34" s="1"/>
  <c r="Y15" i="34"/>
  <c r="AM36" i="34" s="1"/>
  <c r="A15" i="34"/>
  <c r="AJ36" i="34" s="1"/>
  <c r="BG14" i="34"/>
  <c r="AC14" i="34"/>
  <c r="AN35" i="34" s="1"/>
  <c r="Y14" i="34"/>
  <c r="AM35" i="34" s="1"/>
  <c r="A14" i="34"/>
  <c r="DH13" i="34"/>
  <c r="DG13" i="34"/>
  <c r="DF13" i="34"/>
  <c r="DE13" i="34"/>
  <c r="DD13" i="34"/>
  <c r="DC13" i="34"/>
  <c r="DB13" i="34"/>
  <c r="DA13" i="34"/>
  <c r="CZ13" i="34"/>
  <c r="CY13" i="34"/>
  <c r="CX13" i="34"/>
  <c r="CW13" i="34"/>
  <c r="CV13" i="34"/>
  <c r="CU13" i="34"/>
  <c r="CT13" i="34"/>
  <c r="CS13" i="34"/>
  <c r="CR13" i="34"/>
  <c r="CQ13" i="34"/>
  <c r="CP13" i="34"/>
  <c r="CO13" i="34"/>
  <c r="CN13" i="34"/>
  <c r="CM13" i="34"/>
  <c r="CL13" i="34"/>
  <c r="CK13" i="34"/>
  <c r="CJ13" i="34"/>
  <c r="CI13" i="34"/>
  <c r="CH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J13" i="34"/>
  <c r="BI13" i="34"/>
  <c r="BH13" i="34"/>
  <c r="BG13" i="34"/>
  <c r="BF13" i="34"/>
  <c r="BE13" i="34"/>
  <c r="BD13" i="34"/>
  <c r="BC13" i="34"/>
  <c r="BB13" i="34"/>
  <c r="BA13" i="34"/>
  <c r="AZ13" i="34"/>
  <c r="AY13" i="34"/>
  <c r="AX13" i="34"/>
  <c r="AW13" i="34"/>
  <c r="AV13" i="34"/>
  <c r="AU13" i="34"/>
  <c r="AT13" i="34"/>
  <c r="AS13" i="34"/>
  <c r="AR13" i="34"/>
  <c r="AQ13" i="34"/>
  <c r="AP13" i="34"/>
  <c r="AO13" i="34"/>
  <c r="AN13" i="34"/>
  <c r="AM13" i="34"/>
  <c r="AL13" i="34"/>
  <c r="AK13" i="34"/>
  <c r="AJ13" i="34"/>
  <c r="AI13" i="34"/>
  <c r="AH13" i="34"/>
  <c r="Y11" i="34"/>
  <c r="I11" i="34"/>
  <c r="G10" i="34"/>
  <c r="I17" i="23" l="1"/>
  <c r="U75" i="34"/>
  <c r="U71" i="34"/>
  <c r="U67" i="34"/>
  <c r="U65" i="34"/>
  <c r="U63" i="34"/>
  <c r="U59" i="34"/>
  <c r="U73" i="34"/>
  <c r="U66" i="34"/>
  <c r="U61" i="34"/>
  <c r="U57" i="34"/>
  <c r="U74" i="34"/>
  <c r="U70" i="34"/>
  <c r="U76" i="34"/>
  <c r="U72" i="34"/>
  <c r="U68" i="34"/>
  <c r="U60" i="34"/>
  <c r="U56" i="34"/>
  <c r="U69" i="34"/>
  <c r="U64" i="34"/>
  <c r="U62" i="34"/>
  <c r="U58" i="34"/>
  <c r="AB65" i="34"/>
  <c r="AB64" i="34"/>
  <c r="A64" i="34" s="1"/>
  <c r="E64" i="34" s="1"/>
  <c r="AB75" i="34"/>
  <c r="A75" i="34" s="1"/>
  <c r="E75" i="34" s="1"/>
  <c r="AB74" i="34"/>
  <c r="A74" i="34" s="1"/>
  <c r="E74" i="34" s="1"/>
  <c r="AB73" i="34"/>
  <c r="A73" i="34" s="1"/>
  <c r="E73" i="34" s="1"/>
  <c r="AB72" i="34"/>
  <c r="A72" i="34" s="1"/>
  <c r="E72" i="34" s="1"/>
  <c r="AB71" i="34"/>
  <c r="A71" i="34" s="1"/>
  <c r="E71" i="34" s="1"/>
  <c r="AB70" i="34"/>
  <c r="A70" i="34" s="1"/>
  <c r="E70" i="34" s="1"/>
  <c r="AB69" i="34"/>
  <c r="A69" i="34" s="1"/>
  <c r="E69" i="34" s="1"/>
  <c r="AB68" i="34"/>
  <c r="A68" i="34" s="1"/>
  <c r="E68" i="34" s="1"/>
  <c r="AB67" i="34"/>
  <c r="A67" i="34" s="1"/>
  <c r="E67" i="34" s="1"/>
  <c r="AB66" i="34"/>
  <c r="A66" i="34" s="1"/>
  <c r="E66" i="34" s="1"/>
  <c r="AB63" i="34"/>
  <c r="AB62" i="34"/>
  <c r="A62" i="34" s="1"/>
  <c r="E62" i="34" s="1"/>
  <c r="AB61" i="34"/>
  <c r="AB60" i="34"/>
  <c r="A60" i="34" s="1"/>
  <c r="E60" i="34" s="1"/>
  <c r="AB59" i="34"/>
  <c r="A59" i="34" s="1"/>
  <c r="E59" i="34" s="1"/>
  <c r="AB58" i="34"/>
  <c r="A58" i="34" s="1"/>
  <c r="E58" i="34" s="1"/>
  <c r="AB57" i="34"/>
  <c r="A57" i="34" s="1"/>
  <c r="E57" i="34" s="1"/>
  <c r="AB56" i="34"/>
  <c r="A56" i="34" s="1"/>
  <c r="E56" i="34" s="1"/>
  <c r="AB55" i="34"/>
  <c r="A55" i="34" s="1"/>
  <c r="E55" i="34" s="1"/>
  <c r="E23" i="34"/>
  <c r="I23" i="34"/>
  <c r="I33" i="23"/>
  <c r="M33" i="23" s="1"/>
  <c r="AC33" i="23" s="1"/>
  <c r="AG33" i="23" s="1"/>
  <c r="I29" i="23"/>
  <c r="I19" i="23"/>
  <c r="I32" i="23"/>
  <c r="I25" i="23"/>
  <c r="I35" i="23"/>
  <c r="M35" i="23" s="1"/>
  <c r="AG35" i="23" s="1"/>
  <c r="I31" i="23"/>
  <c r="M31" i="23" s="1"/>
  <c r="AC31" i="23" s="1"/>
  <c r="AG31" i="23" s="1"/>
  <c r="I23" i="23"/>
  <c r="I34" i="23"/>
  <c r="I30" i="23"/>
  <c r="I21" i="23"/>
  <c r="Q23" i="34"/>
  <c r="U23" i="34" s="1"/>
  <c r="Q22" i="34"/>
  <c r="U22" i="34" s="1"/>
  <c r="AJ43" i="34"/>
  <c r="E22" i="34"/>
  <c r="A61" i="34"/>
  <c r="E61" i="34" s="1"/>
  <c r="AJ35" i="34"/>
  <c r="J12" i="41"/>
  <c r="J10" i="41"/>
  <c r="G12" i="41"/>
  <c r="D10" i="41"/>
  <c r="D9" i="41"/>
  <c r="D8" i="41"/>
  <c r="D6" i="41"/>
  <c r="J9" i="41" s="1"/>
  <c r="E17" i="34" l="1"/>
  <c r="U36" i="23"/>
  <c r="M21" i="23"/>
  <c r="AC21" i="23"/>
  <c r="AG21" i="23" s="1"/>
  <c r="M19" i="23"/>
  <c r="AC19" i="23"/>
  <c r="AG19" i="23" s="1"/>
  <c r="M17" i="23"/>
  <c r="AC17" i="23"/>
  <c r="AG17" i="23" s="1"/>
  <c r="AJ27" i="23"/>
  <c r="AC16" i="23"/>
  <c r="AJ36" i="23"/>
  <c r="AC28" i="23"/>
  <c r="M29" i="23"/>
  <c r="M23" i="23"/>
  <c r="AC23" i="23"/>
  <c r="AG23" i="23" s="1"/>
  <c r="M25" i="23"/>
  <c r="AC25" i="23"/>
  <c r="AG25" i="23" s="1"/>
  <c r="I16" i="34"/>
  <c r="Q16" i="34" s="1"/>
  <c r="I18" i="34"/>
  <c r="Q18" i="34" s="1"/>
  <c r="E14" i="34"/>
  <c r="E18" i="34"/>
  <c r="I21" i="34"/>
  <c r="Q21" i="34" s="1"/>
  <c r="I19" i="34"/>
  <c r="Q19" i="34" s="1"/>
  <c r="I20" i="34"/>
  <c r="Q20" i="34" s="1"/>
  <c r="E19" i="34"/>
  <c r="E16" i="34"/>
  <c r="E20" i="34"/>
  <c r="I24" i="34"/>
  <c r="Q24" i="34" s="1"/>
  <c r="I17" i="34"/>
  <c r="Q17" i="34" s="1"/>
  <c r="E21" i="34"/>
  <c r="E15" i="34"/>
  <c r="D12" i="41"/>
  <c r="AR50" i="34"/>
  <c r="AS50" i="34" s="1"/>
  <c r="AR47" i="34"/>
  <c r="AS47" i="34" s="1"/>
  <c r="AR39" i="34"/>
  <c r="AS39" i="34" s="1"/>
  <c r="AR35" i="34"/>
  <c r="AS35" i="34" s="1"/>
  <c r="AR42" i="34"/>
  <c r="AS42" i="34" s="1"/>
  <c r="AU48" i="34" s="1"/>
  <c r="AR38" i="34"/>
  <c r="AS38" i="34" s="1"/>
  <c r="AU44" i="34" s="1"/>
  <c r="AR48" i="34"/>
  <c r="AS48" i="34" s="1"/>
  <c r="AU41" i="34" s="1"/>
  <c r="AR45" i="34"/>
  <c r="AS45" i="34" s="1"/>
  <c r="AR44" i="34"/>
  <c r="AS44" i="34" s="1"/>
  <c r="AR40" i="34"/>
  <c r="AS40" i="34" s="1"/>
  <c r="AU46" i="34" s="1"/>
  <c r="AR36" i="34"/>
  <c r="AS36" i="34" s="1"/>
  <c r="AR49" i="34"/>
  <c r="AS49" i="34" s="1"/>
  <c r="AR46" i="34"/>
  <c r="AS46" i="34" s="1"/>
  <c r="AR41" i="34"/>
  <c r="AS41" i="34" s="1"/>
  <c r="AR37" i="34"/>
  <c r="AS37" i="34" s="1"/>
  <c r="AR43" i="34"/>
  <c r="AS43" i="34" s="1"/>
  <c r="J7" i="41"/>
  <c r="J8" i="41"/>
  <c r="D7" i="41"/>
  <c r="AG63" i="34" l="1"/>
  <c r="Y63" i="34" s="1"/>
  <c r="Y64" i="34" s="1"/>
  <c r="AG64" i="34"/>
  <c r="Y65" i="34" s="1"/>
  <c r="Y66" i="34" s="1"/>
  <c r="I15" i="34" s="1"/>
  <c r="Q15" i="34" s="1"/>
  <c r="U27" i="23"/>
  <c r="T24" i="40" s="1"/>
  <c r="AU37" i="34"/>
  <c r="I18" i="26" s="1"/>
  <c r="AU42" i="34"/>
  <c r="AG12" i="34"/>
  <c r="AG11" i="34" s="1"/>
  <c r="Q14" i="34"/>
  <c r="AU35" i="34"/>
  <c r="I16" i="26" s="1"/>
  <c r="AU45" i="34"/>
  <c r="AU47" i="34"/>
  <c r="AU36" i="34"/>
  <c r="I17" i="26" s="1"/>
  <c r="AU40" i="34"/>
  <c r="AU38" i="34"/>
  <c r="I20" i="26" s="1"/>
  <c r="AU39" i="34"/>
  <c r="AU43" i="34"/>
  <c r="I14" i="34" l="1"/>
  <c r="AI64" i="34"/>
  <c r="AI65" i="34" s="1"/>
  <c r="U14" i="34"/>
  <c r="U15" i="34" s="1"/>
  <c r="U16" i="34" s="1"/>
  <c r="U17" i="34" s="1"/>
  <c r="G8" i="39"/>
  <c r="G7" i="39"/>
  <c r="C9" i="39"/>
  <c r="C8" i="39"/>
  <c r="K9" i="39"/>
  <c r="K7" i="39"/>
  <c r="AE9" i="37"/>
  <c r="AE7" i="37"/>
  <c r="Q8" i="37"/>
  <c r="Q7" i="37"/>
  <c r="E9" i="37"/>
  <c r="E8" i="37"/>
  <c r="C7" i="39"/>
  <c r="E7" i="37"/>
  <c r="C6" i="39"/>
  <c r="E6" i="37"/>
  <c r="E8" i="24"/>
  <c r="X10" i="40"/>
  <c r="X8" i="40"/>
  <c r="N9" i="40"/>
  <c r="N8" i="40"/>
  <c r="D10" i="40"/>
  <c r="D9" i="40"/>
  <c r="D7" i="40"/>
  <c r="I9" i="36"/>
  <c r="B9" i="36"/>
  <c r="B8" i="36"/>
  <c r="I7" i="36"/>
  <c r="E7" i="36"/>
  <c r="B7" i="36"/>
  <c r="B6" i="36"/>
  <c r="X14" i="40"/>
  <c r="AI66" i="34" l="1"/>
  <c r="AI67" i="34" s="1"/>
  <c r="AI68" i="34" s="1"/>
  <c r="AI69" i="34" s="1"/>
  <c r="AI70" i="34" s="1"/>
  <c r="U18" i="34"/>
  <c r="U19" i="34" s="1"/>
  <c r="U20" i="34" s="1"/>
  <c r="U21" i="34" s="1"/>
  <c r="AI71" i="34" l="1"/>
  <c r="F43" i="34" s="1"/>
  <c r="T17" i="40" s="1"/>
  <c r="U24" i="34"/>
  <c r="T39" i="40"/>
  <c r="B23" i="36" l="1"/>
  <c r="G32" i="39" l="1"/>
  <c r="Q46" i="37"/>
  <c r="E23" i="36"/>
  <c r="F32" i="41"/>
  <c r="P51" i="40" l="1"/>
  <c r="D32" i="39"/>
  <c r="G46" i="37"/>
  <c r="C32" i="41"/>
  <c r="G51" i="40"/>
  <c r="I32" i="41" l="1"/>
  <c r="H26" i="41"/>
  <c r="V51" i="40"/>
  <c r="X44" i="40"/>
  <c r="X39" i="40"/>
  <c r="X35" i="40"/>
  <c r="T35" i="40"/>
  <c r="X34" i="40"/>
  <c r="T34" i="40"/>
  <c r="X33" i="40"/>
  <c r="T33" i="40"/>
  <c r="X32" i="40"/>
  <c r="T32" i="40"/>
  <c r="X31" i="40"/>
  <c r="X30" i="40"/>
  <c r="X29" i="40"/>
  <c r="X28" i="40"/>
  <c r="X27" i="40"/>
  <c r="X26" i="40"/>
  <c r="X24" i="40"/>
  <c r="X22" i="40"/>
  <c r="T22" i="40"/>
  <c r="X21" i="40"/>
  <c r="T21" i="40"/>
  <c r="X20" i="40"/>
  <c r="T20" i="40"/>
  <c r="X19" i="40"/>
  <c r="T19" i="40"/>
  <c r="X41" i="40"/>
  <c r="J32" i="39"/>
  <c r="AD9" i="39"/>
  <c r="AD8" i="39"/>
  <c r="AD7" i="39"/>
  <c r="T44" i="40"/>
  <c r="AA21" i="38"/>
  <c r="U21" i="38"/>
  <c r="AA20" i="38"/>
  <c r="U20" i="38"/>
  <c r="G17" i="38"/>
  <c r="AA19" i="38"/>
  <c r="U19" i="38"/>
  <c r="AA46" i="37"/>
  <c r="U36" i="37"/>
  <c r="T42" i="40" s="1"/>
  <c r="U31" i="37"/>
  <c r="AC28" i="37"/>
  <c r="N28" i="37"/>
  <c r="U23" i="37"/>
  <c r="AC20" i="37"/>
  <c r="N20" i="37"/>
  <c r="T41" i="40" s="1"/>
  <c r="H23" i="36"/>
  <c r="H16" i="36"/>
  <c r="T31" i="40" s="1"/>
  <c r="K13" i="36"/>
  <c r="C43" i="30" l="1"/>
  <c r="E56" i="31" l="1"/>
  <c r="AN56" i="29"/>
  <c r="F43" i="30"/>
  <c r="W30" i="28"/>
  <c r="M44" i="27"/>
  <c r="F48" i="24"/>
  <c r="F24" i="22"/>
  <c r="R45" i="21"/>
  <c r="L39" i="20"/>
  <c r="AL56" i="29"/>
  <c r="L30" i="28"/>
  <c r="G44" i="27"/>
  <c r="C48" i="24" l="1"/>
  <c r="D24" i="22"/>
  <c r="I45" i="21"/>
  <c r="F39" i="20"/>
  <c r="G30" i="35"/>
  <c r="D30" i="35" l="1"/>
  <c r="J30" i="35"/>
  <c r="B7" i="24"/>
  <c r="G22" i="24" s="1"/>
  <c r="D9" i="35"/>
  <c r="D10" i="35"/>
  <c r="G21" i="24" l="1"/>
  <c r="T26" i="40" s="1"/>
  <c r="AC31" i="27" l="1"/>
  <c r="AC32" i="27"/>
  <c r="AC33" i="27"/>
  <c r="AC34" i="27"/>
  <c r="AC35" i="27"/>
  <c r="AC36" i="27"/>
  <c r="AC30" i="27"/>
  <c r="P31" i="27"/>
  <c r="P32" i="27"/>
  <c r="P33" i="27"/>
  <c r="P34" i="27"/>
  <c r="P35" i="27"/>
  <c r="P36" i="27"/>
  <c r="P30" i="27"/>
  <c r="B9" i="31" l="1"/>
  <c r="H8" i="31"/>
  <c r="H9" i="31"/>
  <c r="D8" i="31"/>
  <c r="B8" i="31"/>
  <c r="B7" i="31"/>
  <c r="B6" i="31"/>
  <c r="AQ8" i="29"/>
  <c r="AQ9" i="29"/>
  <c r="AL9" i="29"/>
  <c r="AN8" i="29"/>
  <c r="AL8" i="29"/>
  <c r="AL7" i="29"/>
  <c r="AL6" i="29"/>
  <c r="B9" i="30"/>
  <c r="B8" i="30"/>
  <c r="B7" i="30"/>
  <c r="B6" i="30"/>
  <c r="G8" i="30"/>
  <c r="J8" i="30"/>
  <c r="J9" i="30"/>
  <c r="AM8" i="28"/>
  <c r="AM9" i="28"/>
  <c r="U8" i="28"/>
  <c r="F9" i="28"/>
  <c r="F8" i="28"/>
  <c r="F7" i="28"/>
  <c r="F6" i="28"/>
  <c r="M8" i="27"/>
  <c r="AD8" i="27"/>
  <c r="AD9" i="27"/>
  <c r="E9" i="27"/>
  <c r="E8" i="27"/>
  <c r="E7" i="27"/>
  <c r="E6" i="27"/>
  <c r="K12" i="35"/>
  <c r="G12" i="35"/>
  <c r="D6" i="35"/>
  <c r="H9" i="24"/>
  <c r="B9" i="24"/>
  <c r="B8" i="24"/>
  <c r="B6" i="24"/>
  <c r="E8" i="22"/>
  <c r="I9" i="22"/>
  <c r="I7" i="22"/>
  <c r="B9" i="22"/>
  <c r="B8" i="22"/>
  <c r="B7" i="22"/>
  <c r="B6" i="22"/>
  <c r="E6" i="21"/>
  <c r="E7" i="21"/>
  <c r="E8" i="21"/>
  <c r="E9" i="21"/>
  <c r="P8" i="21"/>
  <c r="AE9" i="21"/>
  <c r="W7" i="20"/>
  <c r="W9" i="20"/>
  <c r="W8" i="20"/>
  <c r="L8" i="20"/>
  <c r="D9" i="20"/>
  <c r="D8" i="20"/>
  <c r="D7" i="20"/>
  <c r="D6" i="20"/>
  <c r="D7" i="35" l="1"/>
  <c r="D8" i="35"/>
  <c r="K10" i="35"/>
  <c r="AL10" i="29" l="1"/>
  <c r="AN10" i="29"/>
  <c r="G23" i="35" l="1"/>
  <c r="T28" i="40" s="1"/>
  <c r="N18" i="35"/>
  <c r="N17" i="35"/>
  <c r="D12" i="35" l="1"/>
  <c r="K7" i="35"/>
  <c r="K9" i="35"/>
  <c r="K8" i="35"/>
  <c r="N19" i="35"/>
  <c r="N20" i="35" s="1"/>
  <c r="G23" i="24"/>
  <c r="T27" i="40" s="1"/>
  <c r="G7" i="30" l="1"/>
  <c r="AK35" i="27" l="1"/>
  <c r="E35" i="27" s="1"/>
  <c r="AM35" i="27"/>
  <c r="G35" i="27" s="1"/>
  <c r="AM33" i="27"/>
  <c r="G33" i="27" s="1"/>
  <c r="AK33" i="27"/>
  <c r="E33" i="27" s="1"/>
  <c r="AM32" i="27"/>
  <c r="G32" i="27" s="1"/>
  <c r="AK32" i="27"/>
  <c r="E32" i="27" s="1"/>
  <c r="AM31" i="27"/>
  <c r="G31" i="27" s="1"/>
  <c r="AK31" i="27"/>
  <c r="E31" i="27" s="1"/>
  <c r="AM36" i="27"/>
  <c r="G36" i="27" s="1"/>
  <c r="AK36" i="27"/>
  <c r="E36" i="27" s="1"/>
  <c r="H36" i="27" s="1"/>
  <c r="AM30" i="27"/>
  <c r="G30" i="27" s="1"/>
  <c r="AK30" i="27"/>
  <c r="E30" i="27" s="1"/>
  <c r="AM34" i="27"/>
  <c r="G34" i="27" s="1"/>
  <c r="AK34" i="27"/>
  <c r="E34" i="27" s="1"/>
  <c r="G56" i="31"/>
  <c r="AP56" i="29"/>
  <c r="I43" i="30"/>
  <c r="AK30" i="28"/>
  <c r="Y44" i="27"/>
  <c r="H48" i="24"/>
  <c r="I24" i="22"/>
  <c r="AC45" i="21"/>
  <c r="T39" i="20"/>
  <c r="T17" i="30"/>
  <c r="S17" i="30"/>
  <c r="R17" i="30"/>
  <c r="O12" i="20"/>
  <c r="J24" i="27"/>
  <c r="H35" i="27" l="1"/>
  <c r="H33" i="27"/>
  <c r="H32" i="27"/>
  <c r="H34" i="27"/>
  <c r="H31" i="27"/>
  <c r="H30" i="27"/>
  <c r="E37" i="27"/>
  <c r="R38" i="29"/>
  <c r="AQ10" i="29" s="1"/>
  <c r="AW22" i="29" l="1"/>
  <c r="O17" i="20" l="1"/>
  <c r="P23" i="30"/>
  <c r="P8" i="30"/>
  <c r="P11" i="30" s="1"/>
  <c r="P7" i="30"/>
  <c r="S23" i="30"/>
  <c r="S25" i="30" s="1"/>
  <c r="Q17" i="30"/>
  <c r="T16" i="30"/>
  <c r="S16" i="30"/>
  <c r="R16" i="30"/>
  <c r="Q16" i="30"/>
  <c r="P12" i="30"/>
  <c r="AL16" i="29"/>
  <c r="R23" i="30" l="1"/>
  <c r="R25" i="30" s="1"/>
  <c r="T23" i="30"/>
  <c r="T25" i="30" s="1"/>
  <c r="Q23" i="30"/>
  <c r="P9" i="30"/>
  <c r="R14" i="27"/>
  <c r="J13" i="22"/>
  <c r="AF25" i="27"/>
  <c r="AF24" i="27"/>
  <c r="H7" i="31" l="1"/>
  <c r="AQ7" i="29"/>
  <c r="J7" i="30"/>
  <c r="AM7" i="28"/>
  <c r="AD7" i="27"/>
  <c r="H7" i="24"/>
  <c r="AE7" i="21"/>
  <c r="D7" i="31"/>
  <c r="AN7" i="29"/>
  <c r="U7" i="28"/>
  <c r="M7" i="27"/>
  <c r="E7" i="24"/>
  <c r="E7" i="22"/>
  <c r="P7" i="21"/>
  <c r="L7" i="20"/>
  <c r="T30" i="40" l="1"/>
  <c r="AZ22" i="29" l="1"/>
  <c r="AZ20" i="29"/>
  <c r="AZ19" i="29"/>
  <c r="AX22" i="29"/>
  <c r="G22" i="31" s="1"/>
  <c r="AX20" i="29"/>
  <c r="G20" i="31" s="1"/>
  <c r="AX19" i="29"/>
  <c r="G19" i="31" s="1"/>
  <c r="AW20" i="29"/>
  <c r="AW19" i="29"/>
  <c r="AZ15" i="29"/>
  <c r="AZ13" i="29"/>
  <c r="AZ12" i="29"/>
  <c r="AX15" i="29"/>
  <c r="G15" i="31" s="1"/>
  <c r="AX13" i="29"/>
  <c r="G13" i="31" s="1"/>
  <c r="AX12" i="29"/>
  <c r="G12" i="31" s="1"/>
  <c r="AW15" i="29"/>
  <c r="AW13" i="29"/>
  <c r="F13" i="31" s="1"/>
  <c r="AW12" i="29"/>
  <c r="F12" i="31" s="1"/>
  <c r="AP12" i="29"/>
  <c r="AZ11" i="29" s="1"/>
  <c r="AN12" i="29"/>
  <c r="AP13" i="29"/>
  <c r="AN13" i="29"/>
  <c r="AL13" i="29"/>
  <c r="AL12" i="29"/>
  <c r="AW11" i="29" s="1"/>
  <c r="AK17" i="29"/>
  <c r="AK18" i="29"/>
  <c r="AK19" i="29"/>
  <c r="AK20" i="29"/>
  <c r="AK21" i="29"/>
  <c r="AK22" i="29"/>
  <c r="AK23" i="29"/>
  <c r="AK24" i="29"/>
  <c r="AK25" i="29"/>
  <c r="AK26" i="29"/>
  <c r="AK27" i="29"/>
  <c r="AX11" i="29" l="1"/>
  <c r="G11" i="31" s="1"/>
  <c r="AW21" i="29"/>
  <c r="AZ23" i="29"/>
  <c r="AZ21" i="29"/>
  <c r="AX23" i="29"/>
  <c r="G23" i="31" s="1"/>
  <c r="AX21" i="29"/>
  <c r="G21" i="31" s="1"/>
  <c r="AW23" i="29"/>
  <c r="AZ14" i="29"/>
  <c r="AZ17" i="29" s="1"/>
  <c r="AW14" i="29"/>
  <c r="AX14" i="29"/>
  <c r="G14" i="31" s="1"/>
  <c r="E31" i="30"/>
  <c r="Q21" i="30"/>
  <c r="R21" i="30"/>
  <c r="S21" i="30"/>
  <c r="T21" i="30"/>
  <c r="P21" i="30"/>
  <c r="AD16" i="28"/>
  <c r="R24" i="28" s="1"/>
  <c r="W37" i="27"/>
  <c r="AE38" i="27" s="1"/>
  <c r="J37" i="27"/>
  <c r="AJ38" i="27" s="1"/>
  <c r="I14" i="27"/>
  <c r="AW17" i="29" l="1"/>
  <c r="F14" i="31"/>
  <c r="AW24" i="29"/>
  <c r="AZ24" i="29"/>
  <c r="AY26" i="29" s="1"/>
  <c r="AY27" i="29" s="1"/>
  <c r="AX24" i="29"/>
  <c r="AZ16" i="29"/>
  <c r="J38" i="27"/>
  <c r="AX17" i="29"/>
  <c r="G17" i="31" s="1"/>
  <c r="Y15" i="21"/>
  <c r="L37" i="31"/>
  <c r="H32" i="31"/>
  <c r="H33" i="31"/>
  <c r="H19" i="24"/>
  <c r="G19" i="24"/>
  <c r="F19" i="24"/>
  <c r="E19" i="24"/>
  <c r="D19" i="24"/>
  <c r="AP28" i="29"/>
  <c r="AN28" i="29"/>
  <c r="AL20" i="29"/>
  <c r="AM20" i="29" s="1"/>
  <c r="AL29" i="29" s="1"/>
  <c r="AL28" i="29"/>
  <c r="AP17" i="29"/>
  <c r="AQ17" i="29" s="1"/>
  <c r="AP18" i="29"/>
  <c r="AQ18" i="29" s="1"/>
  <c r="AP19" i="29"/>
  <c r="AQ19" i="29" s="1"/>
  <c r="AP20" i="29"/>
  <c r="AQ20" i="29" s="1"/>
  <c r="AP29" i="29" s="1"/>
  <c r="AP21" i="29"/>
  <c r="AQ21" i="29" s="1"/>
  <c r="AP22" i="29"/>
  <c r="AQ22" i="29" s="1"/>
  <c r="AP23" i="29"/>
  <c r="AQ23" i="29" s="1"/>
  <c r="AP24" i="29"/>
  <c r="AQ24" i="29" s="1"/>
  <c r="AP30" i="29" s="1"/>
  <c r="AP25" i="29"/>
  <c r="AQ25" i="29" s="1"/>
  <c r="AP26" i="29"/>
  <c r="AQ26" i="29" s="1"/>
  <c r="AP27" i="29"/>
  <c r="AQ27" i="29" s="1"/>
  <c r="AP16" i="29"/>
  <c r="AQ16" i="29" s="1"/>
  <c r="AN17" i="29"/>
  <c r="AO17" i="29" s="1"/>
  <c r="AN18" i="29"/>
  <c r="AO18" i="29" s="1"/>
  <c r="AN19" i="29"/>
  <c r="AO19" i="29" s="1"/>
  <c r="AN20" i="29"/>
  <c r="AO20" i="29" s="1"/>
  <c r="AN29" i="29" s="1"/>
  <c r="AN21" i="29"/>
  <c r="AO21" i="29" s="1"/>
  <c r="AN22" i="29"/>
  <c r="AO22" i="29" s="1"/>
  <c r="AN23" i="29"/>
  <c r="AO23" i="29" s="1"/>
  <c r="AN24" i="29"/>
  <c r="AO24" i="29" s="1"/>
  <c r="AN30" i="29" s="1"/>
  <c r="AN25" i="29"/>
  <c r="AO25" i="29" s="1"/>
  <c r="AN26" i="29"/>
  <c r="AO26" i="29" s="1"/>
  <c r="AN27" i="29"/>
  <c r="AO27" i="29" s="1"/>
  <c r="AN16" i="29"/>
  <c r="AO16" i="29" s="1"/>
  <c r="AL17" i="29"/>
  <c r="AM17" i="29" s="1"/>
  <c r="AL18" i="29"/>
  <c r="AM18" i="29" s="1"/>
  <c r="AL19" i="29"/>
  <c r="AM19" i="29" s="1"/>
  <c r="AL21" i="29"/>
  <c r="AM21" i="29" s="1"/>
  <c r="AL22" i="29"/>
  <c r="AM22" i="29" s="1"/>
  <c r="AL23" i="29"/>
  <c r="AM23" i="29" s="1"/>
  <c r="AL24" i="29"/>
  <c r="AM24" i="29" s="1"/>
  <c r="AL30" i="29" s="1"/>
  <c r="AL25" i="29"/>
  <c r="AM25" i="29" s="1"/>
  <c r="AL26" i="29"/>
  <c r="AM26" i="29" s="1"/>
  <c r="AL27" i="29"/>
  <c r="AM27" i="29" s="1"/>
  <c r="AM16" i="29"/>
  <c r="AW26" i="29" l="1"/>
  <c r="AW27" i="29" s="1"/>
  <c r="BA16" i="29"/>
  <c r="AX16" i="29"/>
  <c r="G16" i="31" s="1"/>
  <c r="G24" i="31"/>
  <c r="AW16" i="29"/>
  <c r="AX26" i="29"/>
  <c r="AX27" i="29" l="1"/>
  <c r="G27" i="31" s="1"/>
  <c r="G26" i="31"/>
  <c r="I18" i="27"/>
  <c r="R18" i="27"/>
  <c r="U18" i="20"/>
  <c r="O18" i="20"/>
  <c r="O20" i="20" s="1"/>
  <c r="J16" i="22"/>
  <c r="J17" i="22" s="1"/>
  <c r="H13" i="22"/>
  <c r="G31" i="30"/>
  <c r="H16" i="22" l="1"/>
  <c r="H17" i="22" s="1"/>
  <c r="O19" i="20"/>
  <c r="R20" i="27"/>
  <c r="I20" i="27"/>
  <c r="H18" i="22" l="1"/>
  <c r="O25" i="24" l="1"/>
  <c r="O26" i="24"/>
  <c r="O27" i="24" l="1"/>
  <c r="AO9" i="21" l="1"/>
  <c r="AZ9" i="29" l="1"/>
  <c r="AS9" i="29"/>
  <c r="AZ7" i="29"/>
  <c r="AZ8" i="29"/>
  <c r="AS8" i="29"/>
  <c r="AS7" i="29"/>
  <c r="AS6" i="29"/>
  <c r="T24" i="30" l="1"/>
  <c r="T13" i="30" s="1"/>
  <c r="S24" i="30" l="1"/>
  <c r="S13" i="30" s="1"/>
  <c r="R24" i="30"/>
  <c r="R13" i="30" s="1"/>
  <c r="Q43" i="30" s="1"/>
  <c r="E33" i="30"/>
  <c r="E35" i="30" l="1"/>
  <c r="Q39" i="30"/>
  <c r="AL86" i="29"/>
  <c r="AL85" i="29"/>
  <c r="AL84" i="29"/>
  <c r="AL83" i="29"/>
  <c r="E52" i="29"/>
  <c r="E51" i="29"/>
  <c r="E50" i="29"/>
  <c r="E49" i="29"/>
  <c r="E48" i="29"/>
  <c r="AW47" i="29"/>
  <c r="E47" i="31" s="1"/>
  <c r="E47" i="29"/>
  <c r="AW46" i="29"/>
  <c r="E46" i="31" s="1"/>
  <c r="E46" i="29"/>
  <c r="AW45" i="29"/>
  <c r="E45" i="31" s="1"/>
  <c r="E45" i="29"/>
  <c r="E44" i="29"/>
  <c r="E43" i="29"/>
  <c r="E42" i="29"/>
  <c r="E41" i="29"/>
  <c r="AY29" i="29"/>
  <c r="H29" i="31" s="1"/>
  <c r="H22" i="31"/>
  <c r="F22" i="31"/>
  <c r="H20" i="31"/>
  <c r="F20" i="31"/>
  <c r="AX28" i="29"/>
  <c r="G28" i="31" s="1"/>
  <c r="H19" i="31"/>
  <c r="F19" i="31"/>
  <c r="H15" i="31"/>
  <c r="F15" i="31"/>
  <c r="H13" i="31"/>
  <c r="H12" i="31"/>
  <c r="F11" i="31"/>
  <c r="H11" i="31"/>
  <c r="AY28" i="29" l="1"/>
  <c r="H28" i="31" s="1"/>
  <c r="AX29" i="29"/>
  <c r="G29" i="31" s="1"/>
  <c r="AW28" i="29"/>
  <c r="F28" i="31" s="1"/>
  <c r="AW29" i="29"/>
  <c r="F29" i="31" s="1"/>
  <c r="AM67" i="29"/>
  <c r="H21" i="31"/>
  <c r="F23" i="31"/>
  <c r="F21" i="31"/>
  <c r="H23" i="31"/>
  <c r="H14" i="31"/>
  <c r="AF26" i="27"/>
  <c r="AM66" i="29" l="1"/>
  <c r="AM65" i="29"/>
  <c r="H24" i="31"/>
  <c r="F24" i="31"/>
  <c r="H17" i="31"/>
  <c r="L42" i="24"/>
  <c r="N41" i="24"/>
  <c r="M41" i="24"/>
  <c r="L41" i="24"/>
  <c r="L33" i="24"/>
  <c r="M33" i="24" s="1"/>
  <c r="L32" i="24"/>
  <c r="M32" i="24" s="1"/>
  <c r="L31" i="24"/>
  <c r="M31" i="24" s="1"/>
  <c r="M20" i="24"/>
  <c r="L15" i="24"/>
  <c r="N42" i="24"/>
  <c r="M42" i="24"/>
  <c r="N31" i="24"/>
  <c r="O16" i="24"/>
  <c r="O15" i="24"/>
  <c r="H16" i="31" l="1"/>
  <c r="F17" i="31"/>
  <c r="F26" i="31"/>
  <c r="H26" i="31"/>
  <c r="N32" i="24"/>
  <c r="L16" i="24"/>
  <c r="L17" i="24" s="1"/>
  <c r="N33" i="24"/>
  <c r="O17" i="24"/>
  <c r="AL67" i="29" l="1"/>
  <c r="F16" i="31"/>
  <c r="BA17" i="29"/>
  <c r="F27" i="31"/>
  <c r="AL66" i="29"/>
  <c r="AL97" i="29" a="1"/>
  <c r="AL98" i="29" s="1"/>
  <c r="H27" i="31"/>
  <c r="AL65" i="29"/>
  <c r="N15" i="24"/>
  <c r="N16" i="24" s="1"/>
  <c r="L18" i="24" s="1"/>
  <c r="M36" i="24"/>
  <c r="O18" i="24"/>
  <c r="O19" i="24"/>
  <c r="Q15" i="24"/>
  <c r="Q16" i="24" s="1"/>
  <c r="AL97" i="29" l="1"/>
  <c r="AM76" i="29" s="1"/>
  <c r="AM98" i="29"/>
  <c r="AM99" i="29"/>
  <c r="AL101" i="29"/>
  <c r="AL100" i="29"/>
  <c r="AL90" i="29" a="1"/>
  <c r="AP90" i="29"/>
  <c r="AO90" i="29"/>
  <c r="AM100" i="29"/>
  <c r="AM101" i="29"/>
  <c r="AM97" i="29"/>
  <c r="AM77" i="29" s="1"/>
  <c r="AL99" i="29"/>
  <c r="AM78" i="29" s="1"/>
  <c r="O20" i="24"/>
  <c r="N36" i="24"/>
  <c r="M38" i="24"/>
  <c r="L38" i="24" s="1"/>
  <c r="AL92" i="29" l="1"/>
  <c r="AM74" i="29" s="1"/>
  <c r="AM90" i="29"/>
  <c r="AM73" i="29" s="1"/>
  <c r="AM91" i="29"/>
  <c r="AL91" i="29"/>
  <c r="AM93" i="29"/>
  <c r="AL90" i="29"/>
  <c r="AM72" i="29" s="1"/>
  <c r="AL93" i="29"/>
  <c r="AL94" i="29"/>
  <c r="AM92" i="29"/>
  <c r="AM94" i="29"/>
  <c r="AL30" i="21" l="1"/>
  <c r="AP26" i="21"/>
  <c r="AO23" i="21"/>
  <c r="AO22" i="21"/>
  <c r="AO21" i="21"/>
  <c r="AO20" i="21"/>
  <c r="AO19" i="21"/>
  <c r="AO18" i="21"/>
  <c r="AO17" i="21"/>
  <c r="AO16" i="21"/>
  <c r="AO15" i="21"/>
  <c r="AO14" i="21"/>
  <c r="AO13" i="21"/>
  <c r="AO12" i="21"/>
  <c r="AO11" i="21"/>
  <c r="AO10" i="21"/>
  <c r="AO8" i="21"/>
  <c r="AO7" i="21"/>
  <c r="AO6" i="21"/>
  <c r="G37" i="27" l="1"/>
  <c r="H37" i="27"/>
  <c r="J25" i="27" s="1"/>
  <c r="P25" i="30"/>
  <c r="P24" i="30"/>
  <c r="P13" i="30" s="1"/>
  <c r="S31" i="30" l="1"/>
  <c r="T31" i="30"/>
  <c r="R31" i="30"/>
  <c r="P31" i="30"/>
  <c r="Q25" i="30"/>
  <c r="Q24" i="30"/>
  <c r="Q13" i="30" s="1"/>
  <c r="J33" i="30" l="1"/>
  <c r="Q31" i="30"/>
  <c r="J35" i="30" l="1"/>
  <c r="AP64" i="29" s="1"/>
  <c r="AP69" i="29" s="1"/>
  <c r="J31" i="30"/>
  <c r="Q41" i="30" s="1"/>
  <c r="AP71" i="29" l="1"/>
  <c r="AP70" i="29"/>
  <c r="AP72" i="29"/>
  <c r="AM86" i="29" s="1"/>
  <c r="AN86" i="29" s="1"/>
  <c r="AX47" i="29" l="1"/>
  <c r="G47" i="31" s="1"/>
  <c r="AM85" i="29"/>
  <c r="AN85" i="29" s="1"/>
  <c r="AZ47" i="29" s="1"/>
  <c r="H47" i="31" s="1"/>
  <c r="AX46" i="29"/>
  <c r="G46" i="31" s="1"/>
  <c r="AM84" i="29"/>
  <c r="AN84" i="29" s="1"/>
  <c r="AZ46" i="29" s="1"/>
  <c r="H46" i="31" s="1"/>
  <c r="AX45" i="29"/>
  <c r="G45" i="31" s="1"/>
  <c r="AM83" i="29"/>
  <c r="AN83" i="29" s="1"/>
  <c r="AZ45" i="29" l="1"/>
  <c r="H45" i="31" s="1"/>
</calcChain>
</file>

<file path=xl/comments1.xml><?xml version="1.0" encoding="utf-8"?>
<comments xmlns="http://schemas.openxmlformats.org/spreadsheetml/2006/main">
  <authors>
    <author>Mercy Alejandra Rivera Fonseca</author>
  </authors>
  <commentList>
    <comment ref="AA7" authorId="0" shapeId="0">
      <text>
        <r>
          <rPr>
            <b/>
            <sz val="9"/>
            <color indexed="81"/>
            <rFont val="Tahoma"/>
            <family val="2"/>
          </rPr>
          <t>Mercy Alejandra Rivera Fonseca:</t>
        </r>
        <r>
          <rPr>
            <sz val="9"/>
            <color indexed="81"/>
            <rFont val="Tahoma"/>
            <family val="2"/>
          </rPr>
          <t xml:space="preserve">
Diligenciar</t>
        </r>
      </text>
    </comment>
  </commentList>
</comments>
</file>

<file path=xl/comments2.xml><?xml version="1.0" encoding="utf-8"?>
<comments xmlns="http://schemas.openxmlformats.org/spreadsheetml/2006/main">
  <authors>
    <author>mercy.rivera</author>
  </authors>
  <commentList>
    <comment ref="AP64" authorId="0" shapeId="0">
      <text>
        <r>
          <rPr>
            <sz val="9"/>
            <color indexed="81"/>
            <rFont val="Tahoma"/>
            <family val="2"/>
          </rPr>
          <t xml:space="preserve">INGRESAR EL DATO DE LA DENSIDAD MAXIMA DEL PROCTOR.
</t>
        </r>
      </text>
    </comment>
  </commentList>
</comments>
</file>

<file path=xl/sharedStrings.xml><?xml version="1.0" encoding="utf-8"?>
<sst xmlns="http://schemas.openxmlformats.org/spreadsheetml/2006/main" count="1999" uniqueCount="964">
  <si>
    <t xml:space="preserve"> </t>
  </si>
  <si>
    <t>Superior</t>
  </si>
  <si>
    <t>Inferior</t>
  </si>
  <si>
    <t>milímetros</t>
  </si>
  <si>
    <t xml:space="preserve">Tamiz </t>
  </si>
  <si>
    <t>Cliente:</t>
  </si>
  <si>
    <t>Descripción:</t>
  </si>
  <si>
    <t xml:space="preserve"> ANALISIS GRANULOMETRICO DE AGREGADOS GRUESO Y FINO</t>
  </si>
  <si>
    <t>FIN DEL INFORME DE ENSAYO</t>
  </si>
  <si>
    <t>INFORME DE ENSAYO</t>
  </si>
  <si>
    <t>Elaboró:</t>
  </si>
  <si>
    <t>Revisó:</t>
  </si>
  <si>
    <t>Aprobó:</t>
  </si>
  <si>
    <t>Firma:</t>
  </si>
  <si>
    <t>Cargo:</t>
  </si>
  <si>
    <t xml:space="preserve">Los resultados presentados corresponden únicamente a la muestra sometida a ensayo. Este informe no puede ser reproducido en su totalidad ni parcialmente, sin la autorización escrita del laboratorio  de Calidad de suelos  Asfaltos y pavimentos de la UAERMV. </t>
  </si>
  <si>
    <t>Laboratorio de calidad de suelos Asfaltos y pavimentos de la UAERMV 
Sede de Producción Parque Minero Industrial El Mochuelo Kilometro 3 vía Pasquilla localidad Ciudad Bolívar, Bogotá D.C. - Colombia
Tel: 3779555 Ext. 1145   E- mail: p.laboratorio@umv.gov.co</t>
  </si>
  <si>
    <t>Material</t>
  </si>
  <si>
    <t>Procedencia:</t>
  </si>
  <si>
    <t>Código:</t>
  </si>
  <si>
    <t>Observaciones:</t>
  </si>
  <si>
    <t>Responsable</t>
  </si>
  <si>
    <t>Revisó</t>
  </si>
  <si>
    <t>Aprobó</t>
  </si>
  <si>
    <t>FIN DEL INFORME DE  ENSAYO</t>
  </si>
  <si>
    <t xml:space="preserve">Los resultados presentados corresponden únicamente a la muestra sometida a ensayo. Este informe no puede ser reproducido en su totalidad ni parcialmente, sin la autorización escrita del laboratorio  de Calidad de suelos, asfaltos y pavimentos de la UAERMV. </t>
  </si>
  <si>
    <t>FECHA DE APLICACIÓN: 2018-03-01</t>
  </si>
  <si>
    <t>ENSAYO</t>
  </si>
  <si>
    <t>VER GRAFICA</t>
  </si>
  <si>
    <t>BG_C</t>
  </si>
  <si>
    <t>BG_B</t>
  </si>
  <si>
    <t>DUREZA</t>
  </si>
  <si>
    <t xml:space="preserve">10% Finos  </t>
  </si>
  <si>
    <t>DURABILIDAD</t>
  </si>
  <si>
    <t>LIMPIEZA</t>
  </si>
  <si>
    <t>1 Cara</t>
  </si>
  <si>
    <t>2 Caras</t>
  </si>
  <si>
    <t xml:space="preserve">INFORME DE ENSAYO </t>
  </si>
  <si>
    <t>CODIGO: PRO-L-FM-016</t>
  </si>
  <si>
    <t>Material:</t>
  </si>
  <si>
    <t>Fecha de recepción:</t>
  </si>
  <si>
    <t>Tamaño Máximo Nominal</t>
  </si>
  <si>
    <t>Gradación empleada</t>
  </si>
  <si>
    <t>Nº de Esferas</t>
  </si>
  <si>
    <t xml:space="preserve">Estado de la Muestra </t>
  </si>
  <si>
    <t>SECA</t>
  </si>
  <si>
    <t>HUMEDA</t>
  </si>
  <si>
    <t>Coeficiente de Uniformidad</t>
  </si>
  <si>
    <t>GRADACIONES DE MUESTRAS DE ENSAYO</t>
  </si>
  <si>
    <t>Agregados gruesos de tamaños menores de 37.5 mm (1 1/2")</t>
  </si>
  <si>
    <t>Masa de las fracciones indicadas (g)</t>
  </si>
  <si>
    <t>Pasa</t>
  </si>
  <si>
    <t>Retiene</t>
  </si>
  <si>
    <t>A</t>
  </si>
  <si>
    <t>B</t>
  </si>
  <si>
    <t>C</t>
  </si>
  <si>
    <t>D</t>
  </si>
  <si>
    <t>Pulgadas</t>
  </si>
  <si>
    <t>1 1/2"</t>
  </si>
  <si>
    <t>1"</t>
  </si>
  <si>
    <t>1250 ± 25</t>
  </si>
  <si>
    <t>3/4"</t>
  </si>
  <si>
    <t>1/2"</t>
  </si>
  <si>
    <t>1250 ± 10</t>
  </si>
  <si>
    <t>2500 ± 10</t>
  </si>
  <si>
    <t>3/8"</t>
  </si>
  <si>
    <t>No. 3</t>
  </si>
  <si>
    <t>No. 4</t>
  </si>
  <si>
    <t>No. 8</t>
  </si>
  <si>
    <t>5000 ± 10</t>
  </si>
  <si>
    <t>Carga Abrasiva</t>
  </si>
  <si>
    <t>* HUMEDA: Después de 48 HORAS de inmersión</t>
  </si>
  <si>
    <t>CARTA DE CALIBRACIÓN EQUIPO MICRODEVAL</t>
  </si>
  <si>
    <t>El Agregado de calibración debe presentar una pérdida entre 15% y 25%.</t>
  </si>
  <si>
    <t>Promedio</t>
  </si>
  <si>
    <t>LES</t>
  </si>
  <si>
    <t>LEI</t>
  </si>
  <si>
    <t>Tamaño máximo del Agregado</t>
  </si>
  <si>
    <t>Gradación utilizada (numeral 7.2, 7.3 ó 7.4)</t>
  </si>
  <si>
    <t>Objetivo</t>
  </si>
  <si>
    <t>Para que haya aceptación continua de los datos, los datos individuales del material de calibración se deberán encontrar  entre 17.5% y 20.7% el 95% de las veces</t>
  </si>
  <si>
    <t>numeral 7,2</t>
  </si>
  <si>
    <t xml:space="preserve">3/4", 1/2", 3/8" </t>
  </si>
  <si>
    <t>numeral 7,3</t>
  </si>
  <si>
    <t xml:space="preserve"> 1/2", 3/8", N°4 </t>
  </si>
  <si>
    <t>numeral 7,4</t>
  </si>
  <si>
    <t xml:space="preserve"> 3/8", N°4 </t>
  </si>
  <si>
    <t>DETERMINACIÒN DEL VALOR DE 10% DE FINOS</t>
  </si>
  <si>
    <t>CODIGO: PRO-L-FM-021</t>
  </si>
  <si>
    <t>CONDICION DEL AGREGADO</t>
  </si>
  <si>
    <t>SECO</t>
  </si>
  <si>
    <t>g</t>
  </si>
  <si>
    <t>Penetración</t>
  </si>
  <si>
    <t>mm</t>
  </si>
  <si>
    <t>kN</t>
  </si>
  <si>
    <t>%</t>
  </si>
  <si>
    <t>Relación húmedo/seco</t>
  </si>
  <si>
    <t>Laboratorista</t>
  </si>
  <si>
    <t>Tipo de solución</t>
  </si>
  <si>
    <t>Mg</t>
  </si>
  <si>
    <t>X</t>
  </si>
  <si>
    <t>Preparación de la solución</t>
  </si>
  <si>
    <t>Reciente</t>
  </si>
  <si>
    <t xml:space="preserve">Trituración </t>
  </si>
  <si>
    <t>Na</t>
  </si>
  <si>
    <t>Con anterioridad</t>
  </si>
  <si>
    <t>Cortado</t>
  </si>
  <si>
    <t>FRACCIÓN FINA</t>
  </si>
  <si>
    <t>Tamiz mm</t>
  </si>
  <si>
    <t>Tamiz empleado para determinar la pérdida</t>
  </si>
  <si>
    <t>Retenido</t>
  </si>
  <si>
    <t>4,75 mm</t>
  </si>
  <si>
    <t>2,36 mm</t>
  </si>
  <si>
    <t>1,18 mm</t>
  </si>
  <si>
    <t>FRACCIÓN GRUESA</t>
  </si>
  <si>
    <t>31,5 mm</t>
  </si>
  <si>
    <t>(11/4")</t>
  </si>
  <si>
    <t>16 mm</t>
  </si>
  <si>
    <t>(5/8")</t>
  </si>
  <si>
    <t>8,0 mm</t>
  </si>
  <si>
    <t>(5/16")</t>
  </si>
  <si>
    <t>EXÁMEN CUALITATIVO</t>
  </si>
  <si>
    <t>Partículas con Cambios Físicos</t>
  </si>
  <si>
    <t>SOLIDEZ DE LOS AGREGADOS  FRENTE A LA ACCION DE SULFATO DE SODIO O DE MAGNESIO</t>
  </si>
  <si>
    <t>Tamiz alterno</t>
  </si>
  <si>
    <t>% ret. c/tamaño</t>
  </si>
  <si>
    <t>% ret  c/fracción</t>
  </si>
  <si>
    <t>% Pasa</t>
  </si>
  <si>
    <t>% de</t>
  </si>
  <si>
    <t>Tam desig</t>
  </si>
  <si>
    <t>Perdida</t>
  </si>
  <si>
    <t>Porcentaje menor a 4,75 mm (No. 4)</t>
  </si>
  <si>
    <t>TOTALES</t>
  </si>
  <si>
    <t>Porcentaje mayor a 9,5 mm (3/8")</t>
  </si>
  <si>
    <t>Exfoliación</t>
  </si>
  <si>
    <t xml:space="preserve">  INFORME DE ENSAYO</t>
  </si>
  <si>
    <t xml:space="preserve">  
DETERMINACIÓN DEL LIMITE LÍQUIDO, PLÁSTICO E ÍNDICE DE PLASTICIDAD DE LOS SUELOS   </t>
  </si>
  <si>
    <t>VERIFICACIÓN DE PRECISIÓN LÍMITE PLÁSTICO</t>
  </si>
  <si>
    <t>VERIFICACIÓN DE PRECISIÓN LÍMITE LÍQUIDO</t>
  </si>
  <si>
    <t>Desv estándar</t>
  </si>
  <si>
    <t>1,96*Raiz2*1S</t>
  </si>
  <si>
    <t>&lt;&lt;Rango aceptable entre 2 resultados</t>
  </si>
  <si>
    <t>NL (ESCRIBA SI o No)</t>
  </si>
  <si>
    <t>no</t>
  </si>
  <si>
    <t>NP (NO TOQUE)</t>
  </si>
  <si>
    <t xml:space="preserve">     </t>
  </si>
  <si>
    <t>Nota: Si CL tiene IP entre 4 y 7 se clasifica como CL-ML</t>
  </si>
  <si>
    <t>NO TOQUE</t>
  </si>
  <si>
    <t>Convenciones</t>
  </si>
  <si>
    <r>
      <t>P</t>
    </r>
    <r>
      <rPr>
        <vertAlign val="subscript"/>
        <sz val="8"/>
        <rFont val="Arial"/>
        <family val="2"/>
      </rPr>
      <t>1</t>
    </r>
    <r>
      <rPr>
        <sz val="8"/>
        <rFont val="Arial"/>
        <family val="2"/>
      </rPr>
      <t xml:space="preserve"> = Masa del recipiente mas muestra húmeda</t>
    </r>
  </si>
  <si>
    <r>
      <t>P</t>
    </r>
    <r>
      <rPr>
        <vertAlign val="subscript"/>
        <sz val="8"/>
        <rFont val="Arial"/>
        <family val="2"/>
      </rPr>
      <t>3</t>
    </r>
    <r>
      <rPr>
        <sz val="8"/>
        <rFont val="Arial"/>
        <family val="2"/>
      </rPr>
      <t xml:space="preserve"> = Masa del recipiente</t>
    </r>
  </si>
  <si>
    <r>
      <t>P</t>
    </r>
    <r>
      <rPr>
        <vertAlign val="subscript"/>
        <sz val="8"/>
        <rFont val="Arial"/>
        <family val="2"/>
      </rPr>
      <t>2</t>
    </r>
    <r>
      <rPr>
        <sz val="8"/>
        <rFont val="Arial"/>
        <family val="2"/>
      </rPr>
      <t xml:space="preserve"> = Masa del recipiente mas muestra seca</t>
    </r>
  </si>
  <si>
    <t>w = Contenido de humedad de la muestra</t>
  </si>
  <si>
    <t>OBSERVACIONES:</t>
  </si>
  <si>
    <t>Materiales que aplican</t>
  </si>
  <si>
    <t>Muestra secada al aire.</t>
  </si>
  <si>
    <t>Rellenos granulares</t>
  </si>
  <si>
    <t>Ensayo realizado a la muestra que pasa el tamiz #40, secada al aire.</t>
  </si>
  <si>
    <t>Arcillas y rellenos</t>
  </si>
  <si>
    <t>Humedad natural mayor al límite líquido</t>
  </si>
  <si>
    <t>Arcillas y limos</t>
  </si>
  <si>
    <t xml:space="preserve">Los resultados presentados corresponden únicamente a la muestra sometida a ensayo. Este informe no puede ser reproducido en su totalidad ni parcialmente, sin la autorización escrita del laboratorio de suelos y pavimentos de la UAERMV. </t>
  </si>
  <si>
    <t>Laboratorio de suelos y pavimentos de la UAERMV 
Sede de Producción Parque Minero Industrial El Mochuelo Kilometro 3 vía Pasquilla Localidad Ciudad Bolívar, Bogotá D.C. - Colombia
Tel: 3779555 Ext 1145   E- mail: p.laboratorio@umv.gov.co</t>
  </si>
  <si>
    <t xml:space="preserve"> INFORME DE ENSAYO                                                              </t>
  </si>
  <si>
    <t xml:space="preserve">Procedimiento utilizado para preparar el material: </t>
  </si>
  <si>
    <t>EQUIVALENTE DE ARENA</t>
  </si>
  <si>
    <t>Ensayo</t>
  </si>
  <si>
    <t>N°</t>
  </si>
  <si>
    <t>Temperatura del ensayo          (22 ± 3°C)</t>
  </si>
  <si>
    <t>°C</t>
  </si>
  <si>
    <t>Lectura de Arcilla</t>
  </si>
  <si>
    <t>Equivalentes &lt;80</t>
  </si>
  <si>
    <t xml:space="preserve">Lectura de Arena </t>
  </si>
  <si>
    <t>Equivalentes &gt;80</t>
  </si>
  <si>
    <t>Equivalente de Arena</t>
  </si>
  <si>
    <t>Laboratorio de suelos y pavimentos de la UAERMV 
Sede de Producción Parque Minero Industrial El Mochuelo Kilometro 3 vía Pasquilla localidad Ciudad Bolívar, Bogotá D.C. - Colombia
Tel: 3779555 Ext. 1145   E- mail: p.laboratorio@umv.gov.co</t>
  </si>
  <si>
    <t>AGREGADO GRUESO</t>
  </si>
  <si>
    <t>Tamaño de partículas por tamiz</t>
  </si>
  <si>
    <t>Tamiz retenido</t>
  </si>
  <si>
    <t>gradación retenida original</t>
  </si>
  <si>
    <t>% de terrones de arcilla y partículas deleznables</t>
  </si>
  <si>
    <t>pasa</t>
  </si>
  <si>
    <t>retiene</t>
  </si>
  <si>
    <t>M</t>
  </si>
  <si>
    <t>R</t>
  </si>
  <si>
    <t>P</t>
  </si>
  <si>
    <t>AGREGADO FINO</t>
  </si>
  <si>
    <t>PROMEDIO PONDERADO</t>
  </si>
  <si>
    <t>Laboratorio de suelos y pavimentos de la UAERMV 
Sede de Producción Parque Minero Industrial El Mochuelo Kilometro 3 vía Pasquilla Localidad Ciudad Bolívar, Bogotá D.C. - Colombia
Tel: 3779555 Ext. 1145   E- mail: p.laboratorio@umv.gov.co</t>
  </si>
  <si>
    <t>FRACCIÓN RETENIDA EN EL TAMIZ DE 9,5 mm (3/8")</t>
  </si>
  <si>
    <t>APLANAMIENTO</t>
  </si>
  <si>
    <t>ALARGAMIENTO</t>
  </si>
  <si>
    <t>50/63</t>
  </si>
  <si>
    <t>35/50</t>
  </si>
  <si>
    <t>25/38</t>
  </si>
  <si>
    <t>19/25</t>
  </si>
  <si>
    <t>12,5/19</t>
  </si>
  <si>
    <t>9,5/12,5</t>
  </si>
  <si>
    <t>6,3/9,5</t>
  </si>
  <si>
    <t xml:space="preserve">INFORME DE ENSAYOS </t>
  </si>
  <si>
    <t>CODIGO: PRO-L-FM-022</t>
  </si>
  <si>
    <t>CRITERIO</t>
  </si>
  <si>
    <t>Masa</t>
  </si>
  <si>
    <t>Conteo</t>
  </si>
  <si>
    <t>Una cara</t>
  </si>
  <si>
    <t>Dos caras</t>
  </si>
  <si>
    <t>Masa retenida por el tamiz de  75 mm (3")</t>
  </si>
  <si>
    <t xml:space="preserve">Suma de las masas rechazadas </t>
  </si>
  <si>
    <t>observaciones:</t>
  </si>
  <si>
    <t xml:space="preserve">Si un % retenido es inferior al 5%,  la masa retenida en ese tamiz, se debe descontar de la Masa Inicial de Ensayo:  ejemplo  M° 2102-73 = 2029.  Se recalcula con esta nueva Masa Inicial, </t>
  </si>
  <si>
    <t>Masa en el aire de la muestra secada al horno</t>
  </si>
  <si>
    <t xml:space="preserve"> =</t>
  </si>
  <si>
    <t>Masa en el aire de la muestra en condición  SSS</t>
  </si>
  <si>
    <t>S</t>
  </si>
  <si>
    <t>Masa del frasco lleno de agua hasta la marca de calibración</t>
  </si>
  <si>
    <t>Masa del frasco + agua + material (hasta la marca de calibración)</t>
  </si>
  <si>
    <t>Método</t>
  </si>
  <si>
    <t>DETERMINACIÓN DEL CONTENIDO DE VACIOS EN AGREGADOS FINOS NO COMPACTADOS</t>
  </si>
  <si>
    <t>CODIGO: PRO-L-FM-024</t>
  </si>
  <si>
    <t>Gravedad específica Bulk</t>
  </si>
  <si>
    <t>CBR COMPACTADO EN LOS SUELOS Y SOBRE MUESTRA INALTERADA</t>
  </si>
  <si>
    <t>CÓDIGO: PRO-L-FM-008</t>
  </si>
  <si>
    <t>VERSIÓN: 1.0</t>
  </si>
  <si>
    <t>Material.</t>
  </si>
  <si>
    <t>Días de curado</t>
  </si>
  <si>
    <t>Sobrecarga de saturación y penetración (kg)</t>
  </si>
  <si>
    <t>% de Material retenido Tamiz 3/4" y sustituido para realizar el ensayo</t>
  </si>
  <si>
    <t>MOLDE No.</t>
  </si>
  <si>
    <t>Masa húmeda+ masa Molde</t>
  </si>
  <si>
    <t>Expansión %</t>
  </si>
  <si>
    <t>Masa del Molde</t>
  </si>
  <si>
    <t>Masa material húmedo</t>
  </si>
  <si>
    <t>Volumen del molde</t>
  </si>
  <si>
    <t>cm³</t>
  </si>
  <si>
    <t>Masa material seco</t>
  </si>
  <si>
    <t>kg/m³</t>
  </si>
  <si>
    <t>HUMEDAD DE COMPACTACION</t>
  </si>
  <si>
    <t>altura de caída cm</t>
  </si>
  <si>
    <t>Cápsula + material húmedo</t>
  </si>
  <si>
    <t xml:space="preserve">N° capas </t>
  </si>
  <si>
    <t>Cápsula + material seco</t>
  </si>
  <si>
    <t>masa del agua</t>
  </si>
  <si>
    <t>masa de la cápsula</t>
  </si>
  <si>
    <t>Características del Molde No.</t>
  </si>
  <si>
    <t>PROBETAS PARA ENSAYO</t>
  </si>
  <si>
    <t>masa material seco</t>
  </si>
  <si>
    <t>Masa del molde</t>
  </si>
  <si>
    <t>Volumen</t>
  </si>
  <si>
    <r>
      <t>cm</t>
    </r>
    <r>
      <rPr>
        <vertAlign val="superscript"/>
        <sz val="10"/>
        <rFont val="Arial"/>
        <family val="2"/>
      </rPr>
      <t>3</t>
    </r>
  </si>
  <si>
    <t>DENSIDAD VS. CBR</t>
  </si>
  <si>
    <t>DENSIDAD SECA</t>
  </si>
  <si>
    <t>Determinación de la Masa Unitaria</t>
  </si>
  <si>
    <t>lb/pie³</t>
  </si>
  <si>
    <t>Energía  Compactación (nro. glps - nro. cps)</t>
  </si>
  <si>
    <t>CBR CORREGIDO A  0,100 '</t>
  </si>
  <si>
    <t>(%)</t>
  </si>
  <si>
    <t>Masa suelo húmedo compacto + molde</t>
  </si>
  <si>
    <t>CBR corregido a 0,1"</t>
  </si>
  <si>
    <t>CBR CORREGIDO A  0,200 '</t>
  </si>
  <si>
    <t>Humedad de Compactación</t>
  </si>
  <si>
    <t>CBR corregido a 0,2"</t>
  </si>
  <si>
    <r>
      <t>Masa recipiente + suelo húmedo (P</t>
    </r>
    <r>
      <rPr>
        <vertAlign val="subscript"/>
        <sz val="10"/>
        <rFont val="Arial"/>
        <family val="2"/>
      </rPr>
      <t>1</t>
    </r>
    <r>
      <rPr>
        <sz val="10"/>
        <rFont val="Arial"/>
        <family val="2"/>
      </rPr>
      <t>)</t>
    </r>
  </si>
  <si>
    <t>CLASIFICACION FORMAL</t>
  </si>
  <si>
    <r>
      <t>Masa recipiente + suelo seco (P</t>
    </r>
    <r>
      <rPr>
        <vertAlign val="subscript"/>
        <sz val="10"/>
        <rFont val="Arial"/>
        <family val="2"/>
      </rPr>
      <t>2</t>
    </r>
    <r>
      <rPr>
        <sz val="10"/>
        <rFont val="Arial"/>
        <family val="2"/>
      </rPr>
      <t>)</t>
    </r>
  </si>
  <si>
    <t>N.A</t>
  </si>
  <si>
    <r>
      <t>Masa recipiente (P</t>
    </r>
    <r>
      <rPr>
        <vertAlign val="subscript"/>
        <sz val="10"/>
        <rFont val="Arial"/>
        <family val="2"/>
      </rPr>
      <t>3</t>
    </r>
    <r>
      <rPr>
        <sz val="10"/>
        <rFont val="Arial"/>
        <family val="2"/>
      </rPr>
      <t>)</t>
    </r>
  </si>
  <si>
    <t>Inmersión en agua</t>
  </si>
  <si>
    <t>Lectura inicial</t>
  </si>
  <si>
    <t>Lectura final</t>
  </si>
  <si>
    <t>METODO USADO PARA PREPARACION Y COMPACTACION</t>
  </si>
  <si>
    <t>% mat ret T 3/4"</t>
  </si>
  <si>
    <t>Carga (kN)</t>
  </si>
  <si>
    <t>Porcentaje de Compactación</t>
  </si>
  <si>
    <t>Densidad seca</t>
  </si>
  <si>
    <t>CBR</t>
  </si>
  <si>
    <t>Humedad de Penetración</t>
  </si>
  <si>
    <t>RESULTADOS DE LABORATORIO</t>
  </si>
  <si>
    <t>Densidad Seca</t>
  </si>
  <si>
    <t>Densidad Máxima</t>
  </si>
  <si>
    <t>REGRESIONES LINEALES</t>
  </si>
  <si>
    <t>RECTA No. 1</t>
  </si>
  <si>
    <t>m</t>
  </si>
  <si>
    <t>b</t>
  </si>
  <si>
    <r>
      <t>r</t>
    </r>
    <r>
      <rPr>
        <vertAlign val="superscript"/>
        <sz val="10"/>
        <color indexed="8"/>
        <rFont val="Arial"/>
        <family val="2"/>
      </rPr>
      <t>2</t>
    </r>
  </si>
  <si>
    <t>CALCULO DEL ENSAYO DE  RELACION DE SOPORTE DE CALIFORNIA, CBR</t>
  </si>
  <si>
    <t>RECTA No. 2</t>
  </si>
  <si>
    <r>
      <t>(kg/m</t>
    </r>
    <r>
      <rPr>
        <b/>
        <vertAlign val="superscript"/>
        <sz val="10"/>
        <color indexed="8"/>
        <rFont val="Arial"/>
        <family val="2"/>
      </rPr>
      <t>3</t>
    </r>
    <r>
      <rPr>
        <b/>
        <sz val="10"/>
        <color indexed="8"/>
        <rFont val="Arial"/>
        <family val="2"/>
      </rPr>
      <t>)</t>
    </r>
  </si>
  <si>
    <t>LINEAL PRIMEROS DOS PUNTOS</t>
  </si>
  <si>
    <t>LINEAL SIGUIENTES DOS PUNTOS</t>
  </si>
  <si>
    <t>MUESTRA N°</t>
  </si>
  <si>
    <t>Proporción de Fracciones</t>
  </si>
  <si>
    <t>Masa (g)</t>
  </si>
  <si>
    <t>Fracción Ensayo</t>
  </si>
  <si>
    <t>Masa Húmeda</t>
  </si>
  <si>
    <t>Masa Seca</t>
  </si>
  <si>
    <t>Humedad Fracción Gruesa (%)</t>
  </si>
  <si>
    <t>Humedad Fracción Ensayo (%)</t>
  </si>
  <si>
    <t>DETERMINACIÓN (%)</t>
  </si>
  <si>
    <t>Masa Recipiente (g)</t>
  </si>
  <si>
    <t>Masa Recipiente + Material Húmedo (g)</t>
  </si>
  <si>
    <t>Masa Recipiente + Material Seco (g)</t>
  </si>
  <si>
    <t>w: Humedad Fracción Ensayo (%)</t>
  </si>
  <si>
    <t>CURVAS DE COMPACTACIÓN</t>
  </si>
  <si>
    <t>Método de Compactación:</t>
  </si>
  <si>
    <t>Preparación de la muestra:</t>
  </si>
  <si>
    <t>Vía Húmeda</t>
  </si>
  <si>
    <t>CURVA DE SATURACIÓN</t>
  </si>
  <si>
    <t>Martillo de Compactación:</t>
  </si>
  <si>
    <r>
      <t>G</t>
    </r>
    <r>
      <rPr>
        <vertAlign val="subscript"/>
        <sz val="10"/>
        <rFont val="Tahoma"/>
        <family val="2"/>
      </rPr>
      <t>S</t>
    </r>
    <r>
      <rPr>
        <sz val="10"/>
        <rFont val="Tahoma"/>
        <family val="2"/>
      </rPr>
      <t>: Gravedad Especifica</t>
    </r>
  </si>
  <si>
    <r>
      <t>G</t>
    </r>
    <r>
      <rPr>
        <vertAlign val="subscript"/>
        <sz val="10"/>
        <rFont val="Tahoma"/>
        <family val="2"/>
      </rPr>
      <t>M</t>
    </r>
    <r>
      <rPr>
        <sz val="10"/>
        <rFont val="Tahoma"/>
        <family val="2"/>
      </rPr>
      <t>: Gravedad Especifica Fracción Gruesa</t>
    </r>
  </si>
  <si>
    <r>
      <t>γ</t>
    </r>
    <r>
      <rPr>
        <vertAlign val="subscript"/>
        <sz val="10"/>
        <rFont val="Tahoma"/>
        <family val="2"/>
      </rPr>
      <t>dMáx</t>
    </r>
    <r>
      <rPr>
        <sz val="10"/>
        <rFont val="Tahoma"/>
        <family val="2"/>
      </rPr>
      <t>: Peso Unitario Seco Máximo (kN/m</t>
    </r>
    <r>
      <rPr>
        <vertAlign val="superscript"/>
        <sz val="10"/>
        <rFont val="Tahoma"/>
        <family val="2"/>
      </rPr>
      <t>3</t>
    </r>
    <r>
      <rPr>
        <sz val="10"/>
        <rFont val="Tahoma"/>
        <family val="2"/>
      </rPr>
      <t>)</t>
    </r>
  </si>
  <si>
    <t>RELACIONES DE HUMEDAD PESO UNITARIO SECO EN LOS SUELOS (PROCTOR)</t>
  </si>
  <si>
    <t xml:space="preserve">INV E 142-13                                                           </t>
  </si>
  <si>
    <t>CÓDIGO:  PRO-L-FM-007</t>
  </si>
  <si>
    <t>Jennifer Arias</t>
  </si>
  <si>
    <t>Auxiliar Técnico</t>
  </si>
  <si>
    <t>Sonia Gaviria</t>
  </si>
  <si>
    <t>Edgar Mancilla</t>
  </si>
  <si>
    <t>NORMA
INV-E-2013</t>
  </si>
  <si>
    <t>RESULTADO DE ENSAYO</t>
  </si>
  <si>
    <t>Granulometría</t>
  </si>
  <si>
    <t>No Plástico</t>
  </si>
  <si>
    <t>Terrones de Arcilla y Partículas  Deleznables</t>
  </si>
  <si>
    <t>Líder de Laboratorio</t>
  </si>
  <si>
    <t>Hoja:</t>
  </si>
  <si>
    <t xml:space="preserve">Desgaste Los Ángeles, En seco, 500 Revoluciones </t>
  </si>
  <si>
    <t>% Máximo</t>
  </si>
  <si>
    <t xml:space="preserve">Valor en seco </t>
  </si>
  <si>
    <t xml:space="preserve">Relación Húmedo/seco </t>
  </si>
  <si>
    <t>% Mínimo</t>
  </si>
  <si>
    <t>kN Mínimo</t>
  </si>
  <si>
    <t>Límite Líquido</t>
  </si>
  <si>
    <t>% máximo</t>
  </si>
  <si>
    <t>Índice de plasticidad</t>
  </si>
  <si>
    <t>COMPOSICIÓN</t>
  </si>
  <si>
    <t>% mínimo</t>
  </si>
  <si>
    <t>Partículas fracturadas mecánicamente</t>
  </si>
  <si>
    <t>Índice de  Aplanamiento</t>
  </si>
  <si>
    <t>Índice de  Alargamiento</t>
  </si>
  <si>
    <t>Angularidad del agregado fino</t>
  </si>
  <si>
    <t xml:space="preserve">Micro Deval </t>
  </si>
  <si>
    <t>Pérdida de ensayo de solidez  en sulfato de Magnesio</t>
  </si>
  <si>
    <t xml:space="preserve"> % Máximo</t>
  </si>
  <si>
    <t>14 de 14</t>
  </si>
  <si>
    <t xml:space="preserve">Masa Retenida (g)                        </t>
  </si>
  <si>
    <t>Digitador: Notas para el cuadro de observaciones (B11)</t>
  </si>
  <si>
    <t>Si los  % retenidos son superiores al 5%, la columna de Granulometría corregida, se deja en blanco</t>
  </si>
  <si>
    <r>
      <t>W</t>
    </r>
    <r>
      <rPr>
        <vertAlign val="subscript"/>
        <sz val="10"/>
        <rFont val="Tahoma"/>
        <family val="2"/>
      </rPr>
      <t>Ó</t>
    </r>
    <r>
      <rPr>
        <sz val="10"/>
        <rFont val="Tahoma"/>
        <family val="2"/>
      </rPr>
      <t>: Humedad Óptima (%)</t>
    </r>
  </si>
  <si>
    <t>¿Se incluyeron los sobre tamaños en la muestra de ensayo?</t>
  </si>
  <si>
    <t>N° inicial partículas</t>
  </si>
  <si>
    <t>Valor de Azul de metileno</t>
  </si>
  <si>
    <t xml:space="preserve"> % máximo</t>
  </si>
  <si>
    <t>Masa total seca (g)</t>
  </si>
  <si>
    <t>Masa fracción antes del ensayo (g)</t>
  </si>
  <si>
    <t>Masa retenida tamiz designado (g)</t>
  </si>
  <si>
    <t>Límites Especificación
 (% pasa)</t>
  </si>
  <si>
    <t>3"</t>
  </si>
  <si>
    <t>2½"</t>
  </si>
  <si>
    <t>2"</t>
  </si>
  <si>
    <t>1½"</t>
  </si>
  <si>
    <t>Desgaste  a 100 revoluciones</t>
  </si>
  <si>
    <t>Desgaste  a 500 revoluciones</t>
  </si>
  <si>
    <t>Relación Húmedo/Seco, 500 revoluciones</t>
  </si>
  <si>
    <t>Tamaño de los tamices (pulgadas)</t>
  </si>
  <si>
    <r>
      <t>INDICE DE APLANAMIENTO DE LA FRACCIÓN  I</t>
    </r>
    <r>
      <rPr>
        <vertAlign val="subscript"/>
        <sz val="8"/>
        <rFont val="Arial"/>
        <family val="2"/>
      </rPr>
      <t>Ai</t>
    </r>
  </si>
  <si>
    <r>
      <t>INDICE DE ALARGAMIENTO DE LA FRACCIÓN  I</t>
    </r>
    <r>
      <rPr>
        <vertAlign val="subscript"/>
        <sz val="8"/>
        <rFont val="Arial"/>
        <family val="2"/>
      </rPr>
      <t>Li</t>
    </r>
  </si>
  <si>
    <r>
      <t>INDICE DE APLANAMIENTO GLOBAL  I</t>
    </r>
    <r>
      <rPr>
        <vertAlign val="subscript"/>
        <sz val="8"/>
        <rFont val="Arial"/>
        <family val="2"/>
      </rPr>
      <t>A</t>
    </r>
  </si>
  <si>
    <r>
      <t>INDICE DE ALARGAMIENTO GLOBAL  I</t>
    </r>
    <r>
      <rPr>
        <vertAlign val="subscript"/>
        <sz val="8"/>
        <rFont val="Arial"/>
        <family val="2"/>
      </rPr>
      <t>L</t>
    </r>
  </si>
  <si>
    <t>Porcentaje (%)</t>
  </si>
  <si>
    <t>Nombres y apellidos:</t>
  </si>
  <si>
    <t>Pérdida por abrasión Micro-Deval</t>
  </si>
  <si>
    <r>
      <t>M</t>
    </r>
    <r>
      <rPr>
        <sz val="7"/>
        <rFont val="Arial"/>
        <family val="2"/>
      </rPr>
      <t xml:space="preserve">1 </t>
    </r>
    <r>
      <rPr>
        <sz val="9"/>
        <rFont val="Arial"/>
        <family val="2"/>
      </rPr>
      <t>= Masa de la muestra antes del ensayo</t>
    </r>
  </si>
  <si>
    <t>N° 4</t>
  </si>
  <si>
    <t>N° 8</t>
  </si>
  <si>
    <t>N° 16</t>
  </si>
  <si>
    <t>N° 30</t>
  </si>
  <si>
    <t>N° 40</t>
  </si>
  <si>
    <t>N° 50</t>
  </si>
  <si>
    <t>N° 100</t>
  </si>
  <si>
    <t>N° 200</t>
  </si>
  <si>
    <t>N° 10</t>
  </si>
  <si>
    <t>4 mm
 (N° 5)</t>
  </si>
  <si>
    <t>(N° 8)</t>
  </si>
  <si>
    <t>(N° 4)</t>
  </si>
  <si>
    <t>(N° 16)</t>
  </si>
  <si>
    <t>(N° 30)</t>
  </si>
  <si>
    <t>(N° 50)</t>
  </si>
  <si>
    <t>N°30</t>
  </si>
  <si>
    <t xml:space="preserve">Método de Agitación empleado:        </t>
  </si>
  <si>
    <t>600 mm</t>
  </si>
  <si>
    <t>300 mm</t>
  </si>
  <si>
    <t>Granulometría corregida  (Si hay alguna fracción con menos del 5%)    (g)</t>
  </si>
  <si>
    <r>
      <t>Masa de las partículas que pasan por el calibrador  m</t>
    </r>
    <r>
      <rPr>
        <vertAlign val="subscript"/>
        <sz val="8"/>
        <rFont val="Arial"/>
        <family val="2"/>
      </rPr>
      <t>i</t>
    </r>
    <r>
      <rPr>
        <sz val="8"/>
        <rFont val="Arial"/>
        <family val="2"/>
      </rPr>
      <t xml:space="preserve"> (g)</t>
    </r>
  </si>
  <si>
    <r>
      <t>G</t>
    </r>
    <r>
      <rPr>
        <vertAlign val="subscript"/>
        <sz val="9"/>
        <rFont val="Arial"/>
        <family val="2"/>
      </rPr>
      <t>S</t>
    </r>
    <r>
      <rPr>
        <sz val="9"/>
        <rFont val="Arial"/>
        <family val="2"/>
      </rPr>
      <t>: Gravedad Especifica:</t>
    </r>
  </si>
  <si>
    <r>
      <t>P</t>
    </r>
    <r>
      <rPr>
        <vertAlign val="subscript"/>
        <sz val="9"/>
        <rFont val="Arial"/>
        <family val="2"/>
      </rPr>
      <t>FG</t>
    </r>
    <r>
      <rPr>
        <sz val="9"/>
        <rFont val="Arial"/>
        <family val="2"/>
      </rPr>
      <t>: Porcentaje Fracción Gruesa (%)</t>
    </r>
  </si>
  <si>
    <r>
      <t>P</t>
    </r>
    <r>
      <rPr>
        <vertAlign val="subscript"/>
        <sz val="9"/>
        <rFont val="Arial"/>
        <family val="2"/>
      </rPr>
      <t>FE</t>
    </r>
    <r>
      <rPr>
        <sz val="9"/>
        <rFont val="Arial"/>
        <family val="2"/>
      </rPr>
      <t>: Porcentaje Fracción Fina (%)</t>
    </r>
  </si>
  <si>
    <t>Promedio del equivalente de arena</t>
  </si>
  <si>
    <t xml:space="preserve">Ensayo </t>
  </si>
  <si>
    <t>Limite liquido</t>
  </si>
  <si>
    <t>w</t>
  </si>
  <si>
    <r>
      <t>P</t>
    </r>
    <r>
      <rPr>
        <vertAlign val="subscript"/>
        <sz val="10"/>
        <rFont val="Arial"/>
        <family val="2"/>
      </rPr>
      <t xml:space="preserve">3     </t>
    </r>
  </si>
  <si>
    <r>
      <t>P</t>
    </r>
    <r>
      <rPr>
        <vertAlign val="subscript"/>
        <sz val="10"/>
        <rFont val="Arial"/>
        <family val="2"/>
      </rPr>
      <t xml:space="preserve">2      </t>
    </r>
  </si>
  <si>
    <r>
      <t>P</t>
    </r>
    <r>
      <rPr>
        <vertAlign val="subscript"/>
        <sz val="10"/>
        <rFont val="Arial"/>
        <family val="2"/>
      </rPr>
      <t xml:space="preserve">1    </t>
    </r>
  </si>
  <si>
    <t>Recipiente</t>
  </si>
  <si>
    <t>Golpes</t>
  </si>
  <si>
    <t>Reviso:</t>
  </si>
  <si>
    <t>Preparación de partículas mayores a 
2 1/2"</t>
  </si>
  <si>
    <t>Fecha de ejecución:</t>
  </si>
  <si>
    <t>Fracción granulométrica di/Di</t>
  </si>
  <si>
    <t>Fracción</t>
  </si>
  <si>
    <t>% retenido</t>
  </si>
  <si>
    <t>Ri= Masa (g)</t>
  </si>
  <si>
    <t>para ensayo</t>
  </si>
  <si>
    <t>No fracturadas</t>
  </si>
  <si>
    <t>PORCENTAJE*</t>
  </si>
  <si>
    <t>Porcentaje*</t>
  </si>
  <si>
    <t>Porcentaje de la muestra total:</t>
  </si>
  <si>
    <t>Limite plástico</t>
  </si>
  <si>
    <r>
      <t>G</t>
    </r>
    <r>
      <rPr>
        <i/>
        <vertAlign val="subscript"/>
        <sz val="9"/>
        <rFont val="Arial"/>
        <family val="2"/>
      </rPr>
      <t xml:space="preserve">sb 23/23ºC </t>
    </r>
    <r>
      <rPr>
        <i/>
        <sz val="9"/>
        <rFont val="Arial"/>
        <family val="2"/>
      </rPr>
      <t>=</t>
    </r>
  </si>
  <si>
    <t>ml</t>
  </si>
  <si>
    <r>
      <t>V</t>
    </r>
    <r>
      <rPr>
        <sz val="9"/>
        <rFont val="Arial"/>
        <family val="2"/>
      </rPr>
      <t>: volumen del medidor cilíndrico</t>
    </r>
  </si>
  <si>
    <r>
      <t>F</t>
    </r>
    <r>
      <rPr>
        <sz val="9"/>
        <rFont val="Arial"/>
        <family val="2"/>
      </rPr>
      <t>: masa neta del agregado fino en el medidor</t>
    </r>
  </si>
  <si>
    <t>N°8 a N°16</t>
  </si>
  <si>
    <t>N°16 a Nº30</t>
  </si>
  <si>
    <t>N°30 a N°50</t>
  </si>
  <si>
    <t>Elaboro:</t>
  </si>
  <si>
    <t>Masa de las partículas (g)</t>
  </si>
  <si>
    <t>1 ó más caras fracturadas</t>
  </si>
  <si>
    <t xml:space="preserve"> 2 ó más caras fracturadas</t>
  </si>
  <si>
    <t>Densidad, densidad relativa gravedad específica y absorción del agregados finos INV E-222-13</t>
  </si>
  <si>
    <r>
      <t>Peso Unitario Seco Máximo (kgf/m</t>
    </r>
    <r>
      <rPr>
        <vertAlign val="superscript"/>
        <sz val="9"/>
        <rFont val="Arial"/>
        <family val="2"/>
      </rPr>
      <t>3</t>
    </r>
    <r>
      <rPr>
        <sz val="9"/>
        <rFont val="Arial"/>
        <family val="2"/>
      </rPr>
      <t>):</t>
    </r>
  </si>
  <si>
    <r>
      <t>(kg*cm/cm</t>
    </r>
    <r>
      <rPr>
        <vertAlign val="superscript"/>
        <sz val="8"/>
        <rFont val="Arial"/>
        <family val="2"/>
      </rPr>
      <t>3</t>
    </r>
    <r>
      <rPr>
        <sz val="8"/>
        <rFont val="Arial"/>
        <family val="2"/>
      </rPr>
      <t>)</t>
    </r>
  </si>
  <si>
    <r>
      <t>M</t>
    </r>
    <r>
      <rPr>
        <vertAlign val="subscript"/>
        <sz val="8"/>
        <rFont val="Arial"/>
        <family val="2"/>
      </rPr>
      <t>mws</t>
    </r>
  </si>
  <si>
    <r>
      <t>M</t>
    </r>
    <r>
      <rPr>
        <vertAlign val="subscript"/>
        <sz val="8"/>
        <rFont val="Arial"/>
        <family val="2"/>
      </rPr>
      <t>m</t>
    </r>
  </si>
  <si>
    <r>
      <t>M</t>
    </r>
    <r>
      <rPr>
        <vertAlign val="subscript"/>
        <sz val="8"/>
        <rFont val="Arial"/>
        <family val="2"/>
      </rPr>
      <t>ws</t>
    </r>
  </si>
  <si>
    <r>
      <t>V</t>
    </r>
    <r>
      <rPr>
        <vertAlign val="subscript"/>
        <sz val="8"/>
        <rFont val="Arial"/>
        <family val="2"/>
      </rPr>
      <t>m</t>
    </r>
  </si>
  <si>
    <r>
      <t>M</t>
    </r>
    <r>
      <rPr>
        <vertAlign val="subscript"/>
        <sz val="8"/>
        <rFont val="Arial"/>
        <family val="2"/>
      </rPr>
      <t>sac</t>
    </r>
  </si>
  <si>
    <r>
      <t>ρ</t>
    </r>
    <r>
      <rPr>
        <vertAlign val="subscript"/>
        <sz val="8"/>
        <rFont val="Arial"/>
        <family val="2"/>
      </rPr>
      <t>d</t>
    </r>
  </si>
  <si>
    <r>
      <t>M</t>
    </r>
    <r>
      <rPr>
        <vertAlign val="subscript"/>
        <sz val="8"/>
        <rFont val="Arial"/>
        <family val="2"/>
      </rPr>
      <t>1</t>
    </r>
  </si>
  <si>
    <r>
      <t>M</t>
    </r>
    <r>
      <rPr>
        <vertAlign val="subscript"/>
        <sz val="8"/>
        <rFont val="Arial"/>
        <family val="2"/>
      </rPr>
      <t>2</t>
    </r>
    <r>
      <rPr>
        <sz val="10"/>
        <rFont val="Arial"/>
        <family val="2"/>
      </rPr>
      <t/>
    </r>
  </si>
  <si>
    <r>
      <t>M</t>
    </r>
    <r>
      <rPr>
        <vertAlign val="subscript"/>
        <sz val="8"/>
        <rFont val="Arial"/>
        <family val="2"/>
      </rPr>
      <t>w</t>
    </r>
  </si>
  <si>
    <r>
      <t>M</t>
    </r>
    <r>
      <rPr>
        <vertAlign val="subscript"/>
        <sz val="8"/>
        <rFont val="Arial"/>
        <family val="2"/>
      </rPr>
      <t>3</t>
    </r>
  </si>
  <si>
    <r>
      <t>M</t>
    </r>
    <r>
      <rPr>
        <vertAlign val="subscript"/>
        <sz val="8"/>
        <rFont val="Arial"/>
        <family val="2"/>
      </rPr>
      <t>d</t>
    </r>
  </si>
  <si>
    <r>
      <t>W</t>
    </r>
    <r>
      <rPr>
        <vertAlign val="subscript"/>
        <sz val="8"/>
        <rFont val="Arial"/>
        <family val="2"/>
      </rPr>
      <t>ac</t>
    </r>
  </si>
  <si>
    <t>INV E-148-13</t>
  </si>
  <si>
    <t>N° de golpes</t>
  </si>
  <si>
    <t>Curva N°</t>
  </si>
  <si>
    <t>Humedad Penetración %</t>
  </si>
  <si>
    <t>Contenido de agua</t>
  </si>
  <si>
    <t>Densidad humeda</t>
  </si>
  <si>
    <t>Energia de compactacion</t>
  </si>
  <si>
    <t>INV E 148-2013</t>
  </si>
  <si>
    <t>AASHTO</t>
  </si>
  <si>
    <t>SUCS</t>
  </si>
  <si>
    <t>INV E-181-2013</t>
  </si>
  <si>
    <t>INV E 180-2013</t>
  </si>
  <si>
    <t>ENSAYO NORMAL</t>
  </si>
  <si>
    <t>ENSAYO MODIFICADO</t>
  </si>
  <si>
    <t xml:space="preserve">  INV E 141-2013</t>
  </si>
  <si>
    <t xml:space="preserve"> INV E 142-2013</t>
  </si>
  <si>
    <r>
      <t>kg/m</t>
    </r>
    <r>
      <rPr>
        <b/>
        <vertAlign val="superscript"/>
        <sz val="9"/>
        <color indexed="8"/>
        <rFont val="Arial"/>
        <family val="2"/>
      </rPr>
      <t>3</t>
    </r>
  </si>
  <si>
    <t>BG_A</t>
  </si>
  <si>
    <t>SBG_A</t>
  </si>
  <si>
    <t>SBG_B</t>
  </si>
  <si>
    <t>SBG_C</t>
  </si>
  <si>
    <t>CIV:</t>
  </si>
  <si>
    <t xml:space="preserve">Porcentaje de partículas fracturadas, calculado por </t>
  </si>
  <si>
    <t>Criterio de Evaluación</t>
  </si>
  <si>
    <t>Porcentaje de partículas fracturadas, calculado por:</t>
  </si>
  <si>
    <t>Criterio de Evaluación:</t>
  </si>
  <si>
    <t xml:space="preserve">Masa que pasa por el tamiz de  4,75 mm (N°.4) </t>
  </si>
  <si>
    <t>FRACCIÓN QUE PASA EL TAMIZ DE 9,5 mm (3/8") Y SE RETIENE EN EL DE 4,75 mm (N° 4)</t>
  </si>
  <si>
    <t>Penetración 
pulgadas (plg)</t>
  </si>
  <si>
    <t>N° Desintegración</t>
  </si>
  <si>
    <t>N° Agrietamiento</t>
  </si>
  <si>
    <t xml:space="preserve">                  </t>
  </si>
  <si>
    <r>
      <t>ρ</t>
    </r>
    <r>
      <rPr>
        <vertAlign val="subscript"/>
        <sz val="8"/>
        <color rgb="FFFF0000"/>
        <rFont val="Arial"/>
        <family val="2"/>
      </rPr>
      <t>d</t>
    </r>
  </si>
  <si>
    <r>
      <t>M</t>
    </r>
    <r>
      <rPr>
        <vertAlign val="subscript"/>
        <sz val="8"/>
        <color rgb="FFFF0000"/>
        <rFont val="Arial"/>
        <family val="2"/>
      </rPr>
      <t>mws</t>
    </r>
  </si>
  <si>
    <r>
      <t>M</t>
    </r>
    <r>
      <rPr>
        <vertAlign val="subscript"/>
        <sz val="8"/>
        <color rgb="FFFF0000"/>
        <rFont val="Arial"/>
        <family val="2"/>
      </rPr>
      <t>m</t>
    </r>
  </si>
  <si>
    <r>
      <t>W</t>
    </r>
    <r>
      <rPr>
        <vertAlign val="subscript"/>
        <sz val="8"/>
        <color rgb="FFFF0000"/>
        <rFont val="Arial"/>
        <family val="2"/>
      </rPr>
      <t>ac</t>
    </r>
  </si>
  <si>
    <r>
      <t>M</t>
    </r>
    <r>
      <rPr>
        <vertAlign val="subscript"/>
        <sz val="8"/>
        <color rgb="FFFF0000"/>
        <rFont val="Arial"/>
        <family val="2"/>
      </rPr>
      <t>w</t>
    </r>
  </si>
  <si>
    <r>
      <t>M</t>
    </r>
    <r>
      <rPr>
        <vertAlign val="subscript"/>
        <sz val="8"/>
        <color rgb="FFFF0000"/>
        <rFont val="Arial"/>
        <family val="2"/>
      </rPr>
      <t>d</t>
    </r>
  </si>
  <si>
    <r>
      <t>M</t>
    </r>
    <r>
      <rPr>
        <vertAlign val="subscript"/>
        <sz val="8"/>
        <color rgb="FFFF0000"/>
        <rFont val="Arial"/>
        <family val="2"/>
      </rPr>
      <t>1</t>
    </r>
  </si>
  <si>
    <r>
      <t>M</t>
    </r>
    <r>
      <rPr>
        <vertAlign val="subscript"/>
        <sz val="8"/>
        <color rgb="FFFF0000"/>
        <rFont val="Arial"/>
        <family val="2"/>
      </rPr>
      <t>2</t>
    </r>
    <r>
      <rPr>
        <sz val="10"/>
        <rFont val="Arial"/>
        <family val="2"/>
      </rPr>
      <t/>
    </r>
  </si>
  <si>
    <r>
      <t>M</t>
    </r>
    <r>
      <rPr>
        <vertAlign val="subscript"/>
        <sz val="8"/>
        <color rgb="FFFF0000"/>
        <rFont val="Arial"/>
        <family val="2"/>
      </rPr>
      <t>3</t>
    </r>
  </si>
  <si>
    <r>
      <t>V</t>
    </r>
    <r>
      <rPr>
        <vertAlign val="subscript"/>
        <sz val="8"/>
        <color rgb="FFFF0000"/>
        <rFont val="Arial"/>
        <family val="2"/>
      </rPr>
      <t>m</t>
    </r>
  </si>
  <si>
    <r>
      <t>M</t>
    </r>
    <r>
      <rPr>
        <vertAlign val="subscript"/>
        <sz val="8"/>
        <color rgb="FFFF0000"/>
        <rFont val="Arial"/>
        <family val="2"/>
      </rPr>
      <t>sac</t>
    </r>
  </si>
  <si>
    <r>
      <t>m= Porcentaje de material que pasa tamiz 2,36 mm
m= (m</t>
    </r>
    <r>
      <rPr>
        <sz val="7"/>
        <rFont val="Arial"/>
        <family val="2"/>
      </rPr>
      <t xml:space="preserve">3 </t>
    </r>
    <r>
      <rPr>
        <sz val="9"/>
        <rFont val="Arial"/>
        <family val="2"/>
      </rPr>
      <t>/ m</t>
    </r>
    <r>
      <rPr>
        <sz val="7"/>
        <rFont val="Arial"/>
        <family val="2"/>
      </rPr>
      <t>1</t>
    </r>
    <r>
      <rPr>
        <sz val="9"/>
        <rFont val="Arial"/>
        <family val="2"/>
      </rPr>
      <t>) * 100</t>
    </r>
  </si>
  <si>
    <t>f= Máxima fuerza</t>
  </si>
  <si>
    <t>F= Fuerza necesaria para producir un 10% de finos    
F= (14*f) / (m+4)</t>
  </si>
  <si>
    <t>SATURADA</t>
  </si>
  <si>
    <t>A= Masa muestra seca antes del ensayo</t>
  </si>
  <si>
    <t>B= Masa muestra seca después del ensayo</t>
  </si>
  <si>
    <t xml:space="preserve">GRÁFICO DE TENDENCIA DEL AGREGADO DE CALIBRACION </t>
  </si>
  <si>
    <r>
      <t>Masa de las partículas que se retienen en el calibrador  n</t>
    </r>
    <r>
      <rPr>
        <vertAlign val="subscript"/>
        <sz val="8"/>
        <rFont val="Arial"/>
        <family val="2"/>
      </rPr>
      <t>i</t>
    </r>
    <r>
      <rPr>
        <sz val="8"/>
        <rFont val="Arial"/>
        <family val="2"/>
      </rPr>
      <t xml:space="preserve"> (g)</t>
    </r>
  </si>
  <si>
    <t>1/4"</t>
  </si>
  <si>
    <t>F= 1 ó más caras fracturadas</t>
  </si>
  <si>
    <t xml:space="preserve"> N= 2 ó más caras fracturadas</t>
  </si>
  <si>
    <t>N= 2 ó más caras fracturadas</t>
  </si>
  <si>
    <t>Masa de la  muestra de ensayo (g)</t>
  </si>
  <si>
    <t>Masa de las partículas retenidas (g)</t>
  </si>
  <si>
    <r>
      <t>M</t>
    </r>
    <r>
      <rPr>
        <vertAlign val="subscript"/>
        <sz val="8"/>
        <color theme="1"/>
        <rFont val="Tahoma"/>
        <family val="2"/>
      </rPr>
      <t>HFG</t>
    </r>
    <r>
      <rPr>
        <sz val="8"/>
        <color theme="1"/>
        <rFont val="Tahoma"/>
        <family val="2"/>
      </rPr>
      <t>: Masa Húmeda Fracción Gruesa</t>
    </r>
  </si>
  <si>
    <r>
      <t>M</t>
    </r>
    <r>
      <rPr>
        <vertAlign val="subscript"/>
        <sz val="8"/>
        <color theme="1"/>
        <rFont val="Tahoma"/>
        <family val="2"/>
      </rPr>
      <t>HFE</t>
    </r>
    <r>
      <rPr>
        <sz val="8"/>
        <color theme="1"/>
        <rFont val="Tahoma"/>
        <family val="2"/>
      </rPr>
      <t>: Masa Humedad Fracción Ensayo</t>
    </r>
  </si>
  <si>
    <r>
      <t>M</t>
    </r>
    <r>
      <rPr>
        <vertAlign val="subscript"/>
        <sz val="8"/>
        <color theme="1"/>
        <rFont val="Tahoma"/>
        <family val="2"/>
      </rPr>
      <t>SFC</t>
    </r>
    <r>
      <rPr>
        <sz val="8"/>
        <color theme="1"/>
        <rFont val="Tahoma"/>
        <family val="2"/>
      </rPr>
      <t>: Masa Seca Fracción Gruesa</t>
    </r>
  </si>
  <si>
    <r>
      <t>M</t>
    </r>
    <r>
      <rPr>
        <vertAlign val="subscript"/>
        <sz val="8"/>
        <color theme="1"/>
        <rFont val="Tahoma"/>
        <family val="2"/>
      </rPr>
      <t>SFE</t>
    </r>
    <r>
      <rPr>
        <sz val="8"/>
        <color theme="1"/>
        <rFont val="Tahoma"/>
        <family val="2"/>
      </rPr>
      <t>: Masa Seca Fracción Ensayo</t>
    </r>
  </si>
  <si>
    <r>
      <t>γ</t>
    </r>
    <r>
      <rPr>
        <vertAlign val="subscript"/>
        <sz val="8"/>
        <color theme="1"/>
        <rFont val="Tahoma"/>
        <family val="2"/>
      </rPr>
      <t>d</t>
    </r>
    <r>
      <rPr>
        <sz val="8"/>
        <color theme="1"/>
        <rFont val="Tahoma"/>
        <family val="2"/>
      </rPr>
      <t>: Peso Unitario Seco (kN/m</t>
    </r>
    <r>
      <rPr>
        <vertAlign val="superscript"/>
        <sz val="8"/>
        <color theme="1"/>
        <rFont val="Tahoma"/>
        <family val="2"/>
      </rPr>
      <t>3</t>
    </r>
    <r>
      <rPr>
        <sz val="8"/>
        <color theme="1"/>
        <rFont val="Tahoma"/>
        <family val="2"/>
      </rPr>
      <t>)</t>
    </r>
  </si>
  <si>
    <r>
      <t>M</t>
    </r>
    <r>
      <rPr>
        <vertAlign val="subscript"/>
        <sz val="8"/>
        <color theme="1"/>
        <rFont val="Tahoma"/>
        <family val="2"/>
      </rPr>
      <t>T</t>
    </r>
    <r>
      <rPr>
        <sz val="8"/>
        <color theme="1"/>
        <rFont val="Tahoma"/>
        <family val="2"/>
      </rPr>
      <t>: Masa Molde + Material Húmedo (g)</t>
    </r>
  </si>
  <si>
    <r>
      <t>V: Volumen del molde (cm</t>
    </r>
    <r>
      <rPr>
        <vertAlign val="superscript"/>
        <sz val="8"/>
        <color theme="1"/>
        <rFont val="Tahoma"/>
        <family val="2"/>
      </rPr>
      <t>3</t>
    </r>
    <r>
      <rPr>
        <sz val="8"/>
        <color theme="1"/>
        <rFont val="Tahoma"/>
        <family val="2"/>
      </rPr>
      <t>)</t>
    </r>
  </si>
  <si>
    <r>
      <t>M</t>
    </r>
    <r>
      <rPr>
        <vertAlign val="subscript"/>
        <sz val="8"/>
        <color theme="1"/>
        <rFont val="Tahoma"/>
        <family val="2"/>
      </rPr>
      <t>MD</t>
    </r>
    <r>
      <rPr>
        <sz val="8"/>
        <color theme="1"/>
        <rFont val="Tahoma"/>
        <family val="2"/>
      </rPr>
      <t>: Masa del molde (g)</t>
    </r>
  </si>
  <si>
    <r>
      <t>ρ</t>
    </r>
    <r>
      <rPr>
        <vertAlign val="subscript"/>
        <sz val="8"/>
        <color theme="1"/>
        <rFont val="Tahoma"/>
        <family val="2"/>
      </rPr>
      <t>H</t>
    </r>
    <r>
      <rPr>
        <sz val="8"/>
        <color theme="1"/>
        <rFont val="Tahoma"/>
        <family val="2"/>
      </rPr>
      <t>: Densidad Humedad (g/cm</t>
    </r>
    <r>
      <rPr>
        <vertAlign val="superscript"/>
        <sz val="8"/>
        <color theme="1"/>
        <rFont val="Tahoma"/>
        <family val="2"/>
      </rPr>
      <t>3</t>
    </r>
    <r>
      <rPr>
        <sz val="8"/>
        <color theme="1"/>
        <rFont val="Tahoma"/>
        <family val="2"/>
      </rPr>
      <t>)</t>
    </r>
  </si>
  <si>
    <r>
      <t>ρ</t>
    </r>
    <r>
      <rPr>
        <vertAlign val="subscript"/>
        <sz val="8"/>
        <color theme="1"/>
        <rFont val="Tahoma"/>
        <family val="2"/>
      </rPr>
      <t>d</t>
    </r>
    <r>
      <rPr>
        <sz val="8"/>
        <color theme="1"/>
        <rFont val="Tahoma"/>
        <family val="2"/>
      </rPr>
      <t>: Densidad Seca (g/cm</t>
    </r>
    <r>
      <rPr>
        <vertAlign val="superscript"/>
        <sz val="8"/>
        <color theme="1"/>
        <rFont val="Tahoma"/>
        <family val="2"/>
      </rPr>
      <t>3</t>
    </r>
    <r>
      <rPr>
        <sz val="8"/>
        <color theme="1"/>
        <rFont val="Tahoma"/>
        <family val="2"/>
      </rPr>
      <t>)</t>
    </r>
  </si>
  <si>
    <r>
      <t>γ</t>
    </r>
    <r>
      <rPr>
        <vertAlign val="subscript"/>
        <sz val="8"/>
        <color theme="1"/>
        <rFont val="Tahoma"/>
        <family val="2"/>
      </rPr>
      <t>H</t>
    </r>
    <r>
      <rPr>
        <sz val="8"/>
        <color theme="1"/>
        <rFont val="Tahoma"/>
        <family val="2"/>
      </rPr>
      <t>: Peso Unitario Húmedo (kN/m</t>
    </r>
    <r>
      <rPr>
        <vertAlign val="superscript"/>
        <sz val="8"/>
        <color theme="1"/>
        <rFont val="Tahoma"/>
        <family val="2"/>
      </rPr>
      <t>3</t>
    </r>
    <r>
      <rPr>
        <sz val="8"/>
        <color theme="1"/>
        <rFont val="Tahoma"/>
        <family val="2"/>
      </rPr>
      <t>)</t>
    </r>
  </si>
  <si>
    <r>
      <t>W</t>
    </r>
    <r>
      <rPr>
        <vertAlign val="subscript"/>
        <sz val="8"/>
        <color theme="1"/>
        <rFont val="Tahoma"/>
        <family val="2"/>
      </rPr>
      <t>sat</t>
    </r>
    <r>
      <rPr>
        <sz val="8"/>
        <color theme="1"/>
        <rFont val="Tahoma"/>
        <family val="2"/>
      </rPr>
      <t>: Humedad Fracción Ensayo (%)</t>
    </r>
  </si>
  <si>
    <r>
      <t>U</t>
    </r>
    <r>
      <rPr>
        <b/>
        <sz val="7"/>
        <rFont val="Arial"/>
        <family val="2"/>
      </rPr>
      <t>s</t>
    </r>
    <r>
      <rPr>
        <sz val="9"/>
        <rFont val="Arial"/>
        <family val="2"/>
      </rPr>
      <t>: Porcentaje de vacíos en el agregado fino sin compactar</t>
    </r>
  </si>
  <si>
    <r>
      <t>M</t>
    </r>
    <r>
      <rPr>
        <sz val="7"/>
        <rFont val="Arial"/>
        <family val="2"/>
      </rPr>
      <t>2</t>
    </r>
    <r>
      <rPr>
        <sz val="9"/>
        <rFont val="Arial"/>
        <family val="2"/>
      </rPr>
      <t>= Masa de la muestra después del ensayo y retenida sobre el tamiz N° 8</t>
    </r>
  </si>
  <si>
    <r>
      <t>Masa de la muestra que pasa el tamiz N° 8      
M</t>
    </r>
    <r>
      <rPr>
        <sz val="6"/>
        <rFont val="Arial"/>
        <family val="2"/>
      </rPr>
      <t>3</t>
    </r>
    <r>
      <rPr>
        <sz val="9"/>
        <rFont val="Arial"/>
        <family val="2"/>
      </rPr>
      <t xml:space="preserve"> = M</t>
    </r>
    <r>
      <rPr>
        <sz val="7"/>
        <rFont val="Arial"/>
        <family val="2"/>
      </rPr>
      <t>1</t>
    </r>
    <r>
      <rPr>
        <sz val="9"/>
        <rFont val="Arial"/>
        <family val="2"/>
      </rPr>
      <t xml:space="preserve"> - M</t>
    </r>
    <r>
      <rPr>
        <sz val="7"/>
        <rFont val="Arial"/>
        <family val="2"/>
      </rPr>
      <t>2</t>
    </r>
  </si>
  <si>
    <t>Alterno</t>
  </si>
  <si>
    <t>Milímetros
(mm)</t>
  </si>
  <si>
    <t xml:space="preserve"> mm</t>
  </si>
  <si>
    <t>Masa de la muestra inicial Mo</t>
  </si>
  <si>
    <t>Masa de la muestra inicial Mo - Corregida</t>
  </si>
  <si>
    <t>Tipo de material</t>
  </si>
  <si>
    <t>PEA</t>
  </si>
  <si>
    <t>ALBARRACIN JAIRO</t>
  </si>
  <si>
    <t>ALMONACID JIMMY</t>
  </si>
  <si>
    <t>CANO LUIS EDUARDO</t>
  </si>
  <si>
    <t>CHAPARRO CARLOS</t>
  </si>
  <si>
    <t>CORDOBA ALEXANDER</t>
  </si>
  <si>
    <t>CRISTANCHO VICTOR</t>
  </si>
  <si>
    <t>DIAZ CESAR</t>
  </si>
  <si>
    <t>FLOREZ KAREN</t>
  </si>
  <si>
    <t>GALVIS DAVID</t>
  </si>
  <si>
    <t>GOMEZ LUIS CARLOS</t>
  </si>
  <si>
    <t>MANCILLA EDGAR</t>
  </si>
  <si>
    <t>OSPINA JUAN GABRIEL</t>
  </si>
  <si>
    <t>RINCON SATURNINO</t>
  </si>
  <si>
    <t>SUAREZ  WILLIAM</t>
  </si>
  <si>
    <t>VARGAS RODOLFO</t>
  </si>
  <si>
    <t>YARA FABIAN</t>
  </si>
  <si>
    <t>BG_Gr1</t>
  </si>
  <si>
    <t>BG_Gr2</t>
  </si>
  <si>
    <t>SG_Gr1</t>
  </si>
  <si>
    <t>SG_Gr2</t>
  </si>
  <si>
    <t>SBG_Pea</t>
  </si>
  <si>
    <t>Tipo de gradación</t>
  </si>
  <si>
    <t>NOMBRES</t>
  </si>
  <si>
    <t>CARGO</t>
  </si>
  <si>
    <t>FIRMAS</t>
  </si>
  <si>
    <t>Coordinador operativo</t>
  </si>
  <si>
    <t>ACHIARDI LEONARDO</t>
  </si>
  <si>
    <t>Auxiliar</t>
  </si>
  <si>
    <t>GALVIS DANIEL</t>
  </si>
  <si>
    <t>FAJARDO HUGO</t>
  </si>
  <si>
    <t>PATIÑO MARLON</t>
  </si>
  <si>
    <t>PRIETO YULY PAOLA</t>
  </si>
  <si>
    <t>SASTOQUE CINDY</t>
  </si>
  <si>
    <t>TEUTA DIEGO</t>
  </si>
  <si>
    <t>VILLANUEVA BRAYAN</t>
  </si>
  <si>
    <t>Reviso</t>
  </si>
  <si>
    <t>ARIAS JENNIFER</t>
  </si>
  <si>
    <t>--</t>
  </si>
  <si>
    <t>Coordinador Operativo</t>
  </si>
  <si>
    <t>N° 80</t>
  </si>
  <si>
    <t xml:space="preserve">ARENA DE PEÑA </t>
  </si>
  <si>
    <t>MD 20</t>
  </si>
  <si>
    <t>MD12</t>
  </si>
  <si>
    <t>MD10</t>
  </si>
  <si>
    <t>ARENA TRITURADA DE RIO</t>
  </si>
  <si>
    <t>ARENA TRITURADA DE CANTERA</t>
  </si>
  <si>
    <t>GRAVA 1/2"</t>
  </si>
  <si>
    <t>GRAVA 3/4"</t>
  </si>
  <si>
    <t>GRAVA 1"</t>
  </si>
  <si>
    <t xml:space="preserve">MINIMOS </t>
  </si>
  <si>
    <t xml:space="preserve"> N° 4</t>
  </si>
  <si>
    <t>Nº 20</t>
  </si>
  <si>
    <t>0</t>
  </si>
  <si>
    <t>VERSION: 1</t>
  </si>
  <si>
    <t>VERSION : 1</t>
  </si>
  <si>
    <t>VERSIÓN: 1</t>
  </si>
  <si>
    <t>VERSION:  1</t>
  </si>
  <si>
    <t>P1: Masa muestra seca antes del ensayo</t>
  </si>
  <si>
    <r>
      <t>P</t>
    </r>
    <r>
      <rPr>
        <sz val="6"/>
        <rFont val="Arial"/>
        <family val="2"/>
      </rPr>
      <t>2(100rev):</t>
    </r>
    <r>
      <rPr>
        <sz val="8"/>
        <rFont val="Arial"/>
        <family val="2"/>
      </rPr>
      <t xml:space="preserve"> Masa de la muestra seca y después del ensayo, previo lavado sobre  tamiz Nº 12 después  100 revoluciones</t>
    </r>
  </si>
  <si>
    <r>
      <t>P</t>
    </r>
    <r>
      <rPr>
        <sz val="6"/>
        <rFont val="Arial"/>
        <family val="2"/>
      </rPr>
      <t>2</t>
    </r>
    <r>
      <rPr>
        <sz val="8"/>
        <rFont val="Arial"/>
        <family val="2"/>
      </rPr>
      <t>(500rev) : Masa de la muestra seca y después del ensayo, previo lavado sobre  tamiz Nº 12 después  500 revoluciones</t>
    </r>
  </si>
  <si>
    <t>INV E 213-13</t>
  </si>
  <si>
    <t xml:space="preserve"> INV E 218-13 </t>
  </si>
  <si>
    <t>INV E 238-13</t>
  </si>
  <si>
    <t>INV E 224-13</t>
  </si>
  <si>
    <t>INV E 220-13</t>
  </si>
  <si>
    <t>INV E 125 y 126-13</t>
  </si>
  <si>
    <t xml:space="preserve">INV E 133-13                                                           </t>
  </si>
  <si>
    <t xml:space="preserve">INV E 227 y 230-13 </t>
  </si>
  <si>
    <t>PORCENTAJE DE CARAS FRACTURADAS EN UN AGREGADO GRUESO INV E 227-13</t>
  </si>
  <si>
    <t>INDICE DE APLANAMIENTO Y ALARGAMIENTO  DE LOS AGREGADOS PARA CARRETERAS INV E 230-13</t>
  </si>
  <si>
    <t>CODIGO: PRO-L-FM-023</t>
  </si>
  <si>
    <t>INV E 148-13</t>
  </si>
  <si>
    <t>ENSAYO MODIFICADO            INV E 142-2013</t>
  </si>
  <si>
    <t>VERSIÓN 1</t>
  </si>
  <si>
    <t>Metodo A</t>
  </si>
  <si>
    <t>Metodo B</t>
  </si>
  <si>
    <t xml:space="preserve">Metodo Mecanico </t>
  </si>
  <si>
    <t xml:space="preserve">Metodo  Manual </t>
  </si>
  <si>
    <t xml:space="preserve">Manual </t>
  </si>
  <si>
    <t xml:space="preserve">  Nº 16</t>
  </si>
  <si>
    <r>
      <t>Peso Unitario Seco Máximo  (kN/m</t>
    </r>
    <r>
      <rPr>
        <sz val="10"/>
        <rFont val="Calibri"/>
        <family val="2"/>
      </rPr>
      <t>³</t>
    </r>
    <r>
      <rPr>
        <sz val="9"/>
        <rFont val="Arial"/>
        <family val="2"/>
      </rPr>
      <t>)</t>
    </r>
  </si>
  <si>
    <t>Carga 
Lbf</t>
  </si>
  <si>
    <t>esfuerzo 
Lbf/plg²</t>
  </si>
  <si>
    <t>ENSAYO NORMAL                  INV E 141-13</t>
  </si>
  <si>
    <t>ENSAYO MODIFICADO            INV E 142-13</t>
  </si>
  <si>
    <t xml:space="preserve">masa del martillo </t>
  </si>
  <si>
    <t xml:space="preserve">Apellido y  nombre </t>
  </si>
  <si>
    <t>Apellido y  nombre</t>
  </si>
  <si>
    <t>Apellido  y nombre</t>
  </si>
  <si>
    <t xml:space="preserve"> Determinación del Límite líquido
INV-E-125-13        </t>
  </si>
  <si>
    <t>Determinación del Límite plástico
INV-E-126-13</t>
  </si>
  <si>
    <t xml:space="preserve"> EQUIVALENTE DE ARENA DE SUELOS Y AGREGRADOS FINOS (SUELOS)                                                              </t>
  </si>
  <si>
    <t>Localidad y/o barrio</t>
  </si>
  <si>
    <t>Dirección y/o Procedencia:</t>
  </si>
  <si>
    <t>Placa:</t>
  </si>
  <si>
    <t>Apique/Sondeo:</t>
  </si>
  <si>
    <t xml:space="preserve">Mecánico     </t>
  </si>
  <si>
    <t>Profundidad (m)</t>
  </si>
  <si>
    <t>Apellido y nombre:</t>
  </si>
  <si>
    <t>Apellido y  nombre:</t>
  </si>
  <si>
    <t>Apellido y  Nombre</t>
  </si>
  <si>
    <t>Apellido Y  nombre</t>
  </si>
  <si>
    <t>N°200</t>
  </si>
  <si>
    <t>Diferencia permitida 0,3%</t>
  </si>
  <si>
    <t>Fecha de Ejecución:</t>
  </si>
  <si>
    <t xml:space="preserve">Desv estándar </t>
  </si>
  <si>
    <t>VERIFICACIÓN DE PRECISIÓN para un operador</t>
  </si>
  <si>
    <t>(ANGULARIDAD) INV E 239-13</t>
  </si>
  <si>
    <t xml:space="preserve"> (referido al 100% Proctor)</t>
  </si>
  <si>
    <t>N° 
Rotura</t>
  </si>
  <si>
    <t>Fecha de informe:</t>
  </si>
  <si>
    <t>Fecha de Informe:</t>
  </si>
  <si>
    <t>Fecha de informe :</t>
  </si>
  <si>
    <t>Fecha de Informe :</t>
  </si>
  <si>
    <t>Muestra N°:</t>
  </si>
  <si>
    <t>FECHA DE APLICACIÓN: 2018-06-01</t>
  </si>
  <si>
    <t>FECHA DE APLICACION: 2018-06-01</t>
  </si>
  <si>
    <t>FECHA DE APLICACIÓN:  2018-06-01</t>
  </si>
  <si>
    <t>INV E 211-13</t>
  </si>
  <si>
    <t xml:space="preserve"> RESISTENCIA A LA DEGRADACIÓN DE LOS AGREGADOS DE TAMAÑOS MENORES DE 37,5 mm (1 1/2") POR MEDIO DE LA MÁQUINA DE LOS ANGELES</t>
  </si>
  <si>
    <t>DETERMINACIÓN DE LA RESISTENCIA DEL AGREGADO GRUESO A LA DEGRADACIÓN POR ABRASIÓN  UTILIZANDO EL EQUIPO MICRO-DEVAL</t>
  </si>
  <si>
    <t xml:space="preserve">DETERMINACIÓN TERRONES DE ARCILLA Y PARTICULAS DELEZNABLES EN LOS AGREGADOS </t>
  </si>
  <si>
    <t>PORCENTAJE DE PARTÍCULAS FRACTURADAS EN UN AGREGADO GRUESO,  ÍNDICES DE APLANAMIENTO Y ALARGAMIENTO DE LOS  AGREGADOS PARA CARRETERAS</t>
  </si>
  <si>
    <t>CBR DE SUELOS COMPACTADOS EN EL LABORATORIO Y SOBRE MUESTRA INALTERADA</t>
  </si>
  <si>
    <t xml:space="preserve"> BG_Gr1</t>
  </si>
  <si>
    <t>RAP ESTABILIZADO</t>
  </si>
  <si>
    <t>Tamices</t>
  </si>
  <si>
    <t>MAXIMOS</t>
  </si>
  <si>
    <t>MATREIAL FILTRANTE 3" A 3/4"</t>
  </si>
  <si>
    <r>
      <t>2</t>
    </r>
    <r>
      <rPr>
        <sz val="8"/>
        <rFont val="Calibri"/>
        <family val="2"/>
      </rPr>
      <t>¼</t>
    </r>
    <r>
      <rPr>
        <sz val="8"/>
        <rFont val="Arial"/>
        <family val="2"/>
      </rPr>
      <t>"</t>
    </r>
  </si>
  <si>
    <t>MGCR TIPO 3</t>
  </si>
  <si>
    <t>MGCR TIPO 2</t>
  </si>
  <si>
    <t>MGCR TIPO 1</t>
  </si>
  <si>
    <t>11,81"</t>
  </si>
  <si>
    <t>% PASA</t>
  </si>
  <si>
    <t>1½" - 3/4"</t>
  </si>
  <si>
    <t>3/4" -  3/8"</t>
  </si>
  <si>
    <t xml:space="preserve">3/8" - N° 4 </t>
  </si>
  <si>
    <t>N° 4 -  N° 16</t>
  </si>
  <si>
    <t>N° 4 - °N8</t>
  </si>
  <si>
    <t>N° 8 - N°16</t>
  </si>
  <si>
    <t>N°16 - °N30</t>
  </si>
  <si>
    <t>No. 30 - N° 50</t>
  </si>
  <si>
    <t>2½" - 2</t>
  </si>
  <si>
    <t>2- 1½"</t>
  </si>
  <si>
    <t>1/2"-3/8"</t>
  </si>
  <si>
    <t>3/4- 1/2</t>
  </si>
  <si>
    <t>1½"- 1"</t>
  </si>
  <si>
    <t>1"-3/4"</t>
  </si>
  <si>
    <t xml:space="preserve"> INFORMES DE ENSAYO CARACTERIZACIÓN DE</t>
  </si>
  <si>
    <t xml:space="preserve">DETERMINACION DE LA CANTIDAD DE MATERIAL QUE PASA EL TAMIZ  DE </t>
  </si>
  <si>
    <t xml:space="preserve">75 µm (N°200) EN LOS AGREGADOS PETREOS MEDIANTE LAVADO INV E 214-13                                                           </t>
  </si>
  <si>
    <t>% PASA TAMIZ N° 200</t>
  </si>
  <si>
    <t xml:space="preserve">Procedimiento utilizado </t>
  </si>
  <si>
    <t>B: Masa original de la muestra seca.</t>
  </si>
  <si>
    <t>Procedimiento Usada:</t>
  </si>
  <si>
    <t>C: Masa de la muestra seca después de lavada, (g)</t>
  </si>
  <si>
    <t>x</t>
  </si>
  <si>
    <t>A: Lavado con Agua Natural</t>
  </si>
  <si>
    <r>
      <t xml:space="preserve">A: Material fino que pasa el tamiz de 75 </t>
    </r>
    <r>
      <rPr>
        <sz val="9"/>
        <rFont val="Calibri"/>
        <family val="2"/>
      </rPr>
      <t>µ</t>
    </r>
    <r>
      <rPr>
        <sz val="9"/>
        <rFont val="Tahoma"/>
        <family val="2"/>
      </rPr>
      <t>m (N° 200) obtenido por lavado</t>
    </r>
  </si>
  <si>
    <t>B: Lavado con Agua y Agente Humectante</t>
  </si>
  <si>
    <t>Apellido y  Nombre:</t>
  </si>
  <si>
    <t xml:space="preserve">DENSIDAD, DENSIDAD RELATIVA (GRAVEDAD ESPECÍFICA) Y ABSORCIÓN </t>
  </si>
  <si>
    <t xml:space="preserve">DEL AGREGADO FINO INV E 222-13 </t>
  </si>
  <si>
    <t>A: Masa al aire de la muestra seca al horno</t>
  </si>
  <si>
    <t>S: Masa al aire de la muestra en condición  SSS</t>
  </si>
  <si>
    <t>C:Masa total del picnómetro aforado  con la muestra y  lleno de agua</t>
  </si>
  <si>
    <t>B: Masa del picnómetro aforado lleno de agua</t>
  </si>
  <si>
    <t>Si</t>
  </si>
  <si>
    <t xml:space="preserve">Secado previo antes del periodo de inmersion </t>
  </si>
  <si>
    <t>No</t>
  </si>
  <si>
    <t>Determinación de la Gravedad específica Bulk de agregados finos</t>
  </si>
  <si>
    <t xml:space="preserve"> Gravedad especifica  
Aparente=
</t>
  </si>
  <si>
    <t xml:space="preserve">Determinación de la Densidad en agregados finos </t>
  </si>
  <si>
    <r>
      <t xml:space="preserve">Densidad (seca al horno) </t>
    </r>
    <r>
      <rPr>
        <sz val="9"/>
        <rFont val="Times New Roman"/>
        <family val="1"/>
      </rPr>
      <t xml:space="preserve"> </t>
    </r>
    <r>
      <rPr>
        <sz val="9"/>
        <rFont val="Arial"/>
        <family val="2"/>
      </rPr>
      <t>SH (kg/m</t>
    </r>
    <r>
      <rPr>
        <vertAlign val="superscript"/>
        <sz val="9"/>
        <rFont val="Arial"/>
        <family val="2"/>
      </rPr>
      <t>3</t>
    </r>
    <r>
      <rPr>
        <sz val="9"/>
        <rFont val="Arial"/>
        <family val="2"/>
      </rPr>
      <t xml:space="preserve">) </t>
    </r>
    <r>
      <rPr>
        <sz val="9"/>
        <rFont val="Times New Roman"/>
        <family val="1"/>
      </rPr>
      <t>=</t>
    </r>
  </si>
  <si>
    <r>
      <t>Densidad  SSS (kg/m</t>
    </r>
    <r>
      <rPr>
        <vertAlign val="superscript"/>
        <sz val="9"/>
        <rFont val="Arial"/>
        <family val="2"/>
      </rPr>
      <t>3</t>
    </r>
    <r>
      <rPr>
        <sz val="9"/>
        <rFont val="Arial"/>
        <family val="2"/>
      </rPr>
      <t>) =</t>
    </r>
  </si>
  <si>
    <r>
      <t>Densidad aparente (kg/m</t>
    </r>
    <r>
      <rPr>
        <vertAlign val="superscript"/>
        <sz val="9"/>
        <rFont val="Arial"/>
        <family val="2"/>
      </rPr>
      <t>3</t>
    </r>
    <r>
      <rPr>
        <sz val="9"/>
        <rFont val="Arial"/>
        <family val="2"/>
      </rPr>
      <t>) =</t>
    </r>
  </si>
  <si>
    <t xml:space="preserve">Absorción en agregados finos </t>
  </si>
  <si>
    <t>Absorción % =</t>
  </si>
  <si>
    <t>REGISTRO DE ENSAYOS DE SUELOS</t>
  </si>
  <si>
    <r>
      <t>G</t>
    </r>
    <r>
      <rPr>
        <sz val="10"/>
        <rFont val="Arial"/>
        <family val="2"/>
      </rPr>
      <t xml:space="preserve">   Masa agregado + molde g</t>
    </r>
  </si>
  <si>
    <t>Suelta</t>
  </si>
  <si>
    <t>Apisonada</t>
  </si>
  <si>
    <t>Masa del recipiente de medida</t>
  </si>
  <si>
    <t>T</t>
  </si>
  <si>
    <t>Volumen del recipiente de medida</t>
  </si>
  <si>
    <t>V</t>
  </si>
  <si>
    <t>G: Masa agregado + molde (kg)</t>
  </si>
  <si>
    <t>AGREGADO COMBINADO</t>
  </si>
  <si>
    <t>Suelto</t>
  </si>
  <si>
    <t>Compactado</t>
  </si>
  <si>
    <t>kg</t>
  </si>
  <si>
    <t>Vibración</t>
  </si>
  <si>
    <r>
      <t>m</t>
    </r>
    <r>
      <rPr>
        <vertAlign val="superscript"/>
        <sz val="10"/>
        <rFont val="Arial"/>
        <family val="2"/>
      </rPr>
      <t>3</t>
    </r>
  </si>
  <si>
    <t>=</t>
  </si>
  <si>
    <t>%Vacíos en 
agregado compactado</t>
  </si>
  <si>
    <t xml:space="preserve">PRESENCIA DE  IMPUREZAS ORGÁNICAS EN ARENAS USADAS PARA LA PREPARACIÓN </t>
  </si>
  <si>
    <t xml:space="preserve"> DE MORTEROS DE CONCRETO  INV E 212-13                                                           </t>
  </si>
  <si>
    <t xml:space="preserve">COLOR OBTENIDO </t>
  </si>
  <si>
    <t>AGREGADOS FINOS PARA PAVIMENTOS DE LOSAS DE CONCRETO HIDRÁULICO</t>
  </si>
  <si>
    <t xml:space="preserve">SEMANAL </t>
  </si>
  <si>
    <t>ESPECIFICACIÓN TÉCNICA IDU SECCIÓN 600-11</t>
  </si>
  <si>
    <t>MENSUAL</t>
  </si>
  <si>
    <t xml:space="preserve">REQUISITOS DE LOS AGREGADOS FINOS PARA PAVIMENTOS DE LOSAS DE CONCRETO HIDRÁULICO  </t>
  </si>
  <si>
    <t xml:space="preserve">REQUISITOS
Tabla 600.3 </t>
  </si>
  <si>
    <t>Humedad natural</t>
  </si>
  <si>
    <t xml:space="preserve">Reportar </t>
  </si>
  <si>
    <t xml:space="preserve">Arena </t>
  </si>
  <si>
    <t>Material que pasa por el tamiz N° 200</t>
  </si>
  <si>
    <t>CONTENIDO DE MATERIA ORGANICA</t>
  </si>
  <si>
    <t xml:space="preserve">Color mas oscuro permisible </t>
  </si>
  <si>
    <t xml:space="preserve">DETERMINACIÓN EN EL LABORATORIO DEL CONTENIDO DE AGUA (HUMEDAD) DE </t>
  </si>
  <si>
    <t>MUESTRAS DE SUELO, ROCA Y MEZCLAS DE SUELO-AGREGADO  INV E-122-13</t>
  </si>
  <si>
    <t>CÓDIGO: PRO-L-FM-003</t>
  </si>
  <si>
    <t xml:space="preserve">CONTENIDO DE AGUA </t>
  </si>
  <si>
    <t xml:space="preserve">TAMIZ TAMAÑO MAXIMO (PASA 100%) </t>
  </si>
  <si>
    <r>
      <t xml:space="preserve">METODO A </t>
    </r>
    <r>
      <rPr>
        <sz val="9"/>
        <rFont val="Calibri"/>
        <family val="2"/>
      </rPr>
      <t>±</t>
    </r>
    <r>
      <rPr>
        <sz val="9"/>
        <rFont val="Arial"/>
        <family val="2"/>
      </rPr>
      <t xml:space="preserve"> 1%</t>
    </r>
  </si>
  <si>
    <r>
      <t xml:space="preserve">METODO A </t>
    </r>
    <r>
      <rPr>
        <sz val="9"/>
        <rFont val="Calibri"/>
        <family val="2"/>
      </rPr>
      <t xml:space="preserve">± </t>
    </r>
    <r>
      <rPr>
        <sz val="9"/>
        <rFont val="Arial"/>
        <family val="2"/>
      </rPr>
      <t xml:space="preserve"> 0,1%</t>
    </r>
  </si>
  <si>
    <t xml:space="preserve">Método de ensayo </t>
  </si>
  <si>
    <t>MASA ESPECIMEN Kg</t>
  </si>
  <si>
    <t>LECTURA DE BALANZA 
g</t>
  </si>
  <si>
    <t xml:space="preserve">Temperatura de secado </t>
  </si>
  <si>
    <t>Algún material fue excluido del espécimen de prueba, si la respuesta es si, indique el tamaño y la cantidad</t>
  </si>
  <si>
    <t>W1: Masa del recipiente con el espécimen húmedo</t>
  </si>
  <si>
    <t>N°4</t>
  </si>
  <si>
    <t>W2: Masa del recipiente con el espécimen seco</t>
  </si>
  <si>
    <t>N°10</t>
  </si>
  <si>
    <t>W3: Masa del recipiente</t>
  </si>
  <si>
    <t xml:space="preserve">W: Contenido de agua </t>
  </si>
  <si>
    <t>Gravedad especifica</t>
  </si>
  <si>
    <t>Reportar</t>
  </si>
  <si>
    <t>N/A</t>
  </si>
  <si>
    <t>CIV/ PLACA:</t>
  </si>
  <si>
    <t>Masa seca lavada pasa tamiz No. 200 (g)</t>
  </si>
  <si>
    <t>Limite inferior</t>
  </si>
  <si>
    <t>Limite superior</t>
  </si>
  <si>
    <t>Tamiz</t>
  </si>
  <si>
    <t>Especificación</t>
  </si>
  <si>
    <t>Especificación Técnica IDU Sección 400-11, Tabla 400.4</t>
  </si>
  <si>
    <t xml:space="preserve">3/4" </t>
  </si>
  <si>
    <t xml:space="preserve"> AG 1</t>
  </si>
  <si>
    <t>Especificación Técnica IDU Sección 600-11, Tabla 600.2</t>
  </si>
  <si>
    <t>AG 2</t>
  </si>
  <si>
    <t>GRAVA 1" CONCRETO</t>
  </si>
  <si>
    <t>AG 3</t>
  </si>
  <si>
    <t>AG 4</t>
  </si>
  <si>
    <t>Ficha técnica contrato N° 310 UAERMV</t>
  </si>
  <si>
    <t>ARENA PARA CONCRETO</t>
  </si>
  <si>
    <t>ARENA CONCRETO FINA</t>
  </si>
  <si>
    <t>Especificación Técnica IDU Sección 600-11, Tabla 600.4</t>
  </si>
  <si>
    <t>ARENA CONCRETO GRUESA</t>
  </si>
  <si>
    <t xml:space="preserve">Masa Retenida (g) </t>
  </si>
  <si>
    <t>Especificación Técnica IDU Sección 510-11, Tabla 510.4</t>
  </si>
  <si>
    <t>Especificación Técnica IDU Sección 560-11, Tabla 560.1</t>
  </si>
  <si>
    <t>RAJÓN</t>
  </si>
  <si>
    <t>Especificación Técnica IDU Sección 321-11, Numeral 321.3</t>
  </si>
  <si>
    <t>MATERIAL FILTRANTE 3" A 3/4"</t>
  </si>
  <si>
    <t>Especificación Técnica IDU Sección 340-11, Numeral 340.2.2.1</t>
  </si>
  <si>
    <t>Especificación Técnica IDU Sección 450-11, Tabla 450.1</t>
  </si>
  <si>
    <t>Modulo de finura</t>
  </si>
  <si>
    <t>masa que pasa N° 4</t>
  </si>
  <si>
    <t>Masa Mínima de ensayo Especificada (Si o No)</t>
  </si>
  <si>
    <t>La muestra contenía mas de un tipo de suelo (Si o No) cuales:</t>
  </si>
  <si>
    <t xml:space="preserve">Tamaño </t>
  </si>
  <si>
    <t>Cantidad</t>
  </si>
  <si>
    <t>ABSORCIÓN</t>
  </si>
  <si>
    <t xml:space="preserve">Absorción </t>
  </si>
  <si>
    <t xml:space="preserve">Igual a la muestra patrón </t>
  </si>
  <si>
    <t xml:space="preserve">Peso especifico y  absorción </t>
  </si>
  <si>
    <t>Modulo de finura % que pasa</t>
  </si>
  <si>
    <t>MASA UNITARIA</t>
  </si>
  <si>
    <t>Wc: Masa del recipiente</t>
  </si>
  <si>
    <t xml:space="preserve">ARENA NATURAL DE RIO </t>
  </si>
  <si>
    <t>Límite liquido</t>
  </si>
  <si>
    <t>Límite plástico</t>
  </si>
  <si>
    <t xml:space="preserve">Masa unitaria suelta </t>
  </si>
  <si>
    <t>CODIGO: GLAB-FM-045</t>
  </si>
  <si>
    <t>VERSION: 2</t>
  </si>
  <si>
    <t>FECHA DE APLICACIÓN: DICIEMBRE  2018</t>
  </si>
  <si>
    <t>CODIGO: GLAB-FM-013</t>
  </si>
  <si>
    <t>VERSION : 2</t>
  </si>
  <si>
    <t>FECHA DE APLICACIÓN: DICIEMBRE 2018</t>
  </si>
  <si>
    <t>CÓDIGO: GLAB-FM-003</t>
  </si>
  <si>
    <t>VERSIÓN: 4</t>
  </si>
  <si>
    <t>CÓDIGO:  GLAB-FM-018</t>
  </si>
  <si>
    <t>VERSIÒN 7</t>
  </si>
  <si>
    <t>FECHA DE APLICACIÒN : DICIEMBRE 2018</t>
  </si>
  <si>
    <t>CÓDIGO: GLAB-FM-005</t>
  </si>
  <si>
    <t>VERSIÓN: 7</t>
  </si>
  <si>
    <t>CÓDIGO:  GLAB-FM-006</t>
  </si>
  <si>
    <t>CÓDIGO:  GLAB-FM-012</t>
  </si>
  <si>
    <t>VERSIÒN 2</t>
  </si>
  <si>
    <t>FECHA DE APLICACIÒN :  DICIEMBRE 2018</t>
  </si>
  <si>
    <t>CÓDIGO:  GLAB-FM-014</t>
  </si>
  <si>
    <t>VERSIÓN: 2</t>
  </si>
  <si>
    <t>Gravedad específica  (seca al horno) Gs SH =</t>
  </si>
  <si>
    <r>
      <t xml:space="preserve">Gravedad específica 
</t>
    </r>
    <r>
      <rPr>
        <sz val="9"/>
        <rFont val="Times New Roman"/>
        <family val="1"/>
      </rPr>
      <t>Gs SSS=</t>
    </r>
  </si>
  <si>
    <t>CÓDIGO:  GLAB-FM-019</t>
  </si>
  <si>
    <t>CODIGO: GLAB-FM-015</t>
  </si>
  <si>
    <t>CÓDIGO:  GLAB-FM-004</t>
  </si>
  <si>
    <t xml:space="preserve">Determinación de la densidad Bulk de agregados sueltos y compactados </t>
  </si>
  <si>
    <t>MÉTODO UTILIZADO</t>
  </si>
  <si>
    <t>Varillado o apisonado</t>
  </si>
  <si>
    <t xml:space="preserve">%Vacíos en 
agregado suelto </t>
  </si>
  <si>
    <t>Laboratorio  de suelos, asfaltos y pavimentos de la UAERMV 
Sede de Producción Parque Minero Industrial El Mochuelo Kilometro 3 vía Pasquilla localidad Ciudad Bolívar, Bogotá D.C. - Colombia
Tel: 3779555 Ext. 1145   E- mail: p.laboratorio@umv.gov.co</t>
  </si>
  <si>
    <t>SAENZ JESSICA</t>
  </si>
  <si>
    <t>PRADA CESAR</t>
  </si>
  <si>
    <t xml:space="preserve">VELASQUEZ JUAN CAMILO </t>
  </si>
  <si>
    <t>RIAÑO JOSE</t>
  </si>
  <si>
    <t xml:space="preserve">QUIÑONES ETIEL </t>
  </si>
  <si>
    <t>VANEGAS BRAYAN</t>
  </si>
  <si>
    <t>RIOS JOSE</t>
  </si>
  <si>
    <t xml:space="preserve">VAQUIRO JUAN CAMILO </t>
  </si>
  <si>
    <t xml:space="preserve">RINCON ALVARO JOSE </t>
  </si>
  <si>
    <t>VILLALBA ROBINSSON</t>
  </si>
  <si>
    <t>JUNCO DIEGO</t>
  </si>
  <si>
    <t>GONZALEZ CAMILO</t>
  </si>
  <si>
    <t>MONTENEGRO EDGAR</t>
  </si>
  <si>
    <t>PRADA PEDRO</t>
  </si>
  <si>
    <t>SUAREZ DIEGO</t>
  </si>
  <si>
    <t>CINDY NATHALY SASTOQUE</t>
  </si>
  <si>
    <t>Coordinador  técnico</t>
  </si>
  <si>
    <t xml:space="preserve">CONTRERAS WILINTONG </t>
  </si>
  <si>
    <t xml:space="preserve">Lider operativo del proceso </t>
  </si>
  <si>
    <t>INFORME DE ENSAYOS 
DENSIDAD BULK (PESO UNITARIO) Y PORCENTAJE DE VACÍOS DE LOS AGREGADOS EN ESTADO SUELTO Y COMPACTO INV E 217-13</t>
  </si>
  <si>
    <t>Paginas</t>
  </si>
  <si>
    <t>Pagina</t>
  </si>
  <si>
    <t>de</t>
  </si>
  <si>
    <t>Pagina xx de xx</t>
  </si>
  <si>
    <t xml:space="preserve">Fecha de ejecución: </t>
  </si>
  <si>
    <t>Gravedad específica Bulk  (seca al horno) Gs SH</t>
  </si>
  <si>
    <t>CÓDIGO: GLAB-FM-176</t>
  </si>
  <si>
    <t>FECHA DE APLICACIÓN: AGOSTO 2021</t>
  </si>
  <si>
    <r>
      <t>m</t>
    </r>
    <r>
      <rPr>
        <sz val="10"/>
        <color theme="0"/>
        <rFont val="Calibri"/>
        <family val="2"/>
      </rPr>
      <t>³</t>
    </r>
  </si>
  <si>
    <t>Servicios</t>
  </si>
  <si>
    <t>Concreto hidráulico</t>
  </si>
  <si>
    <t>Subdirección Técnica de Mejoramiento de la Malla Vial</t>
  </si>
  <si>
    <t>Nombre y apellido</t>
  </si>
  <si>
    <t>Rol</t>
  </si>
  <si>
    <t>Firma</t>
  </si>
  <si>
    <t>Densidades</t>
  </si>
  <si>
    <t>Gerencia de Producción</t>
  </si>
  <si>
    <t>Jennifer Arias Neira</t>
  </si>
  <si>
    <t>Apiques</t>
  </si>
  <si>
    <t>Base granular tipo A</t>
  </si>
  <si>
    <t>Ver perfil estratigráfico del suelo INV E-101 y 102-13</t>
  </si>
  <si>
    <t>MD-10</t>
  </si>
  <si>
    <t>Cemento asfaltico CA-14</t>
  </si>
  <si>
    <t>Emulsión asfaltica CRL-1 (60-100)</t>
  </si>
  <si>
    <t>Grava 1"</t>
  </si>
  <si>
    <t>Base granular Tipo A</t>
  </si>
  <si>
    <t>MR-43</t>
  </si>
  <si>
    <t>Localidad:</t>
  </si>
  <si>
    <t>Barrio:</t>
  </si>
  <si>
    <t>Identificación:</t>
  </si>
  <si>
    <t>Gerencia de Intervención</t>
  </si>
  <si>
    <t>Núcleos</t>
  </si>
  <si>
    <t>Base granular tipo B</t>
  </si>
  <si>
    <t>MD-12</t>
  </si>
  <si>
    <t>Cemento asfaltico modificado con GCR</t>
  </si>
  <si>
    <t>Emulsión asfaltica CRL-1 (100-250)</t>
  </si>
  <si>
    <r>
      <t xml:space="preserve">Grava </t>
    </r>
    <r>
      <rPr>
        <sz val="10"/>
        <color theme="1"/>
        <rFont val="Calibri"/>
        <family val="2"/>
      </rPr>
      <t>¾</t>
    </r>
    <r>
      <rPr>
        <sz val="10"/>
        <color theme="1"/>
        <rFont val="Arial"/>
        <family val="2"/>
      </rPr>
      <t>"</t>
    </r>
  </si>
  <si>
    <t>Base granular Tipo B</t>
  </si>
  <si>
    <t>3000 psi</t>
  </si>
  <si>
    <t>Dirección:</t>
  </si>
  <si>
    <t>Lote:</t>
  </si>
  <si>
    <t>Vehículo:</t>
  </si>
  <si>
    <t>Planta:</t>
  </si>
  <si>
    <t>Subdirección Técnica de Producción e intervención</t>
  </si>
  <si>
    <t>Diseños</t>
  </si>
  <si>
    <t>Base granular tipo C</t>
  </si>
  <si>
    <t>MGCR-Tipo 1</t>
  </si>
  <si>
    <t>Asfalto modificado para sello de fisuras</t>
  </si>
  <si>
    <t>Emulsión asfaltica CRR-1</t>
  </si>
  <si>
    <r>
      <t xml:space="preserve">Grava </t>
    </r>
    <r>
      <rPr>
        <sz val="10"/>
        <color theme="1"/>
        <rFont val="Calibri"/>
        <family val="2"/>
      </rPr>
      <t>½</t>
    </r>
    <r>
      <rPr>
        <sz val="10"/>
        <color theme="1"/>
        <rFont val="Arial"/>
        <family val="2"/>
      </rPr>
      <t>"</t>
    </r>
  </si>
  <si>
    <t>Base granular Tipo C</t>
  </si>
  <si>
    <t>MGCR Tipo 1</t>
  </si>
  <si>
    <t>2500 psi</t>
  </si>
  <si>
    <t>Remisión / Despacho:</t>
  </si>
  <si>
    <t>Jornada:</t>
  </si>
  <si>
    <t>Material ensayado:</t>
  </si>
  <si>
    <t>Saturnino Rincón Beltrán</t>
  </si>
  <si>
    <t>Técnico Operativo</t>
  </si>
  <si>
    <t>Cemento asfaltico</t>
  </si>
  <si>
    <t>Sub-base granular  tipo A</t>
  </si>
  <si>
    <t>Capa 1 MD-12 y Capa 2 MGCR-Tipo 1</t>
  </si>
  <si>
    <t>Arena triturada de rio</t>
  </si>
  <si>
    <t xml:space="preserve">Sub-base granular Tipo A </t>
  </si>
  <si>
    <t>Pavimento asfaltico reciclado MBR</t>
  </si>
  <si>
    <t>Frecuencia:</t>
  </si>
  <si>
    <t>Muestra tomada en:</t>
  </si>
  <si>
    <t>Emulsión asfaltica</t>
  </si>
  <si>
    <t>Sub-base granular  tipo B</t>
  </si>
  <si>
    <t>Capa 1 MGCR Tipo 1 y capa 2 MD-12</t>
  </si>
  <si>
    <t>Arena triturada de cantera</t>
  </si>
  <si>
    <t>Sub-base granular Tipo B</t>
  </si>
  <si>
    <t>Fresado</t>
  </si>
  <si>
    <t>CIVs:</t>
  </si>
  <si>
    <t>PK:</t>
  </si>
  <si>
    <t>Complemento</t>
  </si>
  <si>
    <t>Materiales pétreos</t>
  </si>
  <si>
    <t>Sub-base granular  tipo C</t>
  </si>
  <si>
    <t>Arena natural</t>
  </si>
  <si>
    <t>Sub-base granular Tipo C</t>
  </si>
  <si>
    <t>Fresado estabilizado con emulsión y cemento</t>
  </si>
  <si>
    <t>Fecha de instalación:</t>
  </si>
  <si>
    <t>Fecha de producción:</t>
  </si>
  <si>
    <t>Fuente:</t>
  </si>
  <si>
    <t>Mezcla de concreto hidráulico</t>
  </si>
  <si>
    <t>Materiales granulares</t>
  </si>
  <si>
    <t>Remanente</t>
  </si>
  <si>
    <t>Arena de peña</t>
  </si>
  <si>
    <t>Piedra rajón</t>
  </si>
  <si>
    <t>Apique:</t>
  </si>
  <si>
    <t>Volumen del lote:</t>
  </si>
  <si>
    <t>Toma de muestra</t>
  </si>
  <si>
    <t>Mezcla asfaltica</t>
  </si>
  <si>
    <t>Agregados combinados MD-10</t>
  </si>
  <si>
    <t>Recebo común</t>
  </si>
  <si>
    <t>Planta</t>
  </si>
  <si>
    <t>Base estabilizada con emulsión y cemento</t>
  </si>
  <si>
    <t>Agregados combinados MD-12</t>
  </si>
  <si>
    <t>Material filtrante de 3"</t>
  </si>
  <si>
    <t xml:space="preserve">Obra </t>
  </si>
  <si>
    <t>Otros</t>
  </si>
  <si>
    <t xml:space="preserve">70%SBG-A + 30% Fresado </t>
  </si>
  <si>
    <t>Agregados combinados MGCR Tipo 1</t>
  </si>
  <si>
    <t>Material filtrante de 1"</t>
  </si>
  <si>
    <t>Cindy Nathaly Sastoque G</t>
  </si>
  <si>
    <t>Coordinador Técnico</t>
  </si>
  <si>
    <t>Wilintong Contreras Camacho</t>
  </si>
  <si>
    <t>Líder Operativo</t>
  </si>
  <si>
    <t>Fecha de emisión:</t>
  </si>
  <si>
    <t>Número de páginas:</t>
  </si>
  <si>
    <t>Descargos:</t>
  </si>
  <si>
    <t>1. Los resultados emitidos corresponden únicamente a la muestra recibida y ensayada.
2. El laboratorio de suelos, asfaltos y pavimentos de la UAERMV no se hace responsable por la validez de la información suministrada por el cliente, la cual corresponde a la identificación y fuente de la muestra sometida a ensayo. Esta información se encuentra en cursiva y subrayada.
3. Este informe no puede ser reproducido en su totalidad, ni parcialmente, sin la autorización escrita del laboratorio de suelos, asfaltos y pavimentos de la UAERMV. Los informes de ensayo sin firma no son validos.</t>
  </si>
  <si>
    <t>Laboratorio de suelos, asfaltos y pavimentos de la UAERMV
Sede de Producción Parque Minero Industrial El Mochuelo Kilometro 3 vía Pasquilla localidad Ciudad Bolívar, Bogotá D.C. - Colombia
Tel: 3779555 Ext 1145   E- mail: p.laboratorio@umv.gov.co</t>
  </si>
  <si>
    <t>Karen Flórez Barón</t>
  </si>
  <si>
    <t>Auxiliar de Acreditación</t>
  </si>
  <si>
    <t>VERSION: 8</t>
  </si>
  <si>
    <t>FECHA DE APLICACION: AGOSTO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</si>
</sst>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 #,##0_-;_-* &quot;-&quot;_-;_-@_-"/>
    <numFmt numFmtId="43" formatCode="_-* #,##0.00_-;\-* #,##0.00_-;_-* &quot;-&quot;??_-;_-@_-"/>
    <numFmt numFmtId="164" formatCode="&quot;$&quot;\ #,##0.00_);\(&quot;$&quot;\ #,##0.00\)"/>
    <numFmt numFmtId="165" formatCode="_(* #,##0_);_(* \(#,##0\);_(* &quot;-&quot;_);_(@_)"/>
    <numFmt numFmtId="166" formatCode="_(* #,##0.00_);_(* \(#,##0.00\);_(* &quot;-&quot;??_);_(@_)"/>
    <numFmt numFmtId="167" formatCode="0.0"/>
    <numFmt numFmtId="168" formatCode="yyyy\-mm\-dd;@"/>
    <numFmt numFmtId="169" formatCode="_ * #,##0.00_ ;_ * \-#,##0.00_ ;_ * &quot;-&quot;??_ ;_ @_ "/>
    <numFmt numFmtId="170" formatCode="#,"/>
    <numFmt numFmtId="171" formatCode="_ [$€-2]\ * #,##0.00_ ;_ [$€-2]\ * \-#,##0.00_ ;_ [$€-2]\ * &quot;-&quot;??_ "/>
    <numFmt numFmtId="172" formatCode="#\ ?/2"/>
    <numFmt numFmtId="173" formatCode="0.000"/>
    <numFmt numFmtId="174" formatCode="&quot;M&quot;0"/>
    <numFmt numFmtId="175" formatCode="#,##0\ &quot;$&quot;;\-#,##0\ &quot;$&quot;"/>
    <numFmt numFmtId="176" formatCode="0.0000"/>
    <numFmt numFmtId="177" formatCode="_(* #,##0.00000_);_(* \(#,##0.00000\);_(* &quot;-&quot;??_);_(@_)"/>
    <numFmt numFmtId="178" formatCode="_(&quot;€&quot;* #,##0.00_);_(&quot;€&quot;* \(#,##0.00\);_(&quot;€&quot;* &quot;-&quot;??_);_(@_)"/>
    <numFmt numFmtId="179" formatCode="#,##0\ &quot;$&quot;;[Red]\-#,##0\ &quot;$&quot;"/>
    <numFmt numFmtId="180" formatCode="_-* #,##0\ _P_t_s_-;\-* #,##0\ _P_t_s_-;_-* &quot;-&quot;??\ _P_t_s_-;_-@_-"/>
    <numFmt numFmtId="181" formatCode="_(* #,##0.000_);_(* \(#,##0.000\);_(* &quot;-&quot;??_);_(@_)"/>
    <numFmt numFmtId="182" formatCode="_-* #,##0.0\ _P_t_s_-;\-* #,##0.0\ _P_t_s_-;_-* &quot;-&quot;??\ _P_t_s_-;_-@_-"/>
    <numFmt numFmtId="183" formatCode="_ * #,##0_ ;_ * \-#,##0_ ;_ * &quot;-&quot;_ ;_ @_ "/>
    <numFmt numFmtId="184" formatCode="&quot;$&quot;#,##0\ ;\(&quot;$&quot;#,##0\)"/>
    <numFmt numFmtId="185" formatCode="General_)"/>
    <numFmt numFmtId="186" formatCode="#,##0.00\ &quot;$&quot;;\-#,##0.00\ &quot;$&quot;"/>
    <numFmt numFmtId="187" formatCode="0.0%"/>
    <numFmt numFmtId="188" formatCode="d/mm/yyyy;@"/>
    <numFmt numFmtId="189" formatCode="h:mm:ss;@"/>
    <numFmt numFmtId="190" formatCode="d\ &quot;de&quot;\ mmmm\ &quot;de&quot;\ yyyy"/>
    <numFmt numFmtId="191" formatCode="_(&quot;$&quot;* #,##0_);_(&quot;$&quot;* \(#,##0\);_(&quot;$&quot;* &quot;-&quot;_);_(@_)"/>
    <numFmt numFmtId="192" formatCode="0.000\ &quot;g/cm³&quot;"/>
  </numFmts>
  <fonts count="202">
    <font>
      <sz val="11"/>
      <color theme="1"/>
      <name val="Calibri"/>
      <family val="2"/>
      <scheme val="minor"/>
    </font>
    <font>
      <sz val="10"/>
      <name val="Arial"/>
      <family val="2"/>
    </font>
    <font>
      <sz val="8"/>
      <name val="Arial"/>
      <family val="2"/>
    </font>
    <font>
      <b/>
      <sz val="10"/>
      <name val="Arial"/>
      <family val="2"/>
    </font>
    <font>
      <sz val="9"/>
      <name val="Arial"/>
      <family val="2"/>
    </font>
    <font>
      <b/>
      <sz val="9"/>
      <name val="Arial"/>
      <family val="2"/>
    </font>
    <font>
      <b/>
      <sz val="7"/>
      <name val="Arial"/>
      <family val="2"/>
    </font>
    <font>
      <b/>
      <sz val="8"/>
      <color indexed="15"/>
      <name val="Arial"/>
      <family val="2"/>
    </font>
    <font>
      <b/>
      <i/>
      <sz val="10"/>
      <name val="Arial"/>
      <family val="2"/>
    </font>
    <font>
      <b/>
      <i/>
      <sz val="9"/>
      <color rgb="FFFF0000"/>
      <name val="Arial"/>
      <family val="2"/>
    </font>
    <font>
      <sz val="10"/>
      <color rgb="FFFF0000"/>
      <name val="Arial"/>
      <family val="2"/>
    </font>
    <font>
      <i/>
      <sz val="10"/>
      <color rgb="FFFF0000"/>
      <name val="Arial"/>
      <family val="2"/>
    </font>
    <font>
      <sz val="8"/>
      <color rgb="FFFF0000"/>
      <name val="Arial"/>
      <family val="2"/>
    </font>
    <font>
      <b/>
      <sz val="7"/>
      <color rgb="FFFF0000"/>
      <name val="Arial"/>
      <family val="2"/>
    </font>
    <font>
      <b/>
      <sz val="9"/>
      <color rgb="FFFF0000"/>
      <name val="Arial"/>
      <family val="2"/>
    </font>
    <font>
      <sz val="9"/>
      <color rgb="FFFF0000"/>
      <name val="Arial"/>
      <family val="2"/>
    </font>
    <font>
      <sz val="7"/>
      <name val="Arial"/>
      <family val="2"/>
    </font>
    <font>
      <sz val="1"/>
      <color indexed="16"/>
      <name val="Courier"/>
      <family val="3"/>
    </font>
    <font>
      <i/>
      <sz val="1"/>
      <color indexed="16"/>
      <name val="Courier"/>
      <family val="3"/>
    </font>
    <font>
      <b/>
      <sz val="1"/>
      <color indexed="16"/>
      <name val="Courier"/>
      <family val="3"/>
    </font>
    <font>
      <sz val="5"/>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color theme="0"/>
      <name val="Arial"/>
      <family val="2"/>
    </font>
    <font>
      <sz val="11"/>
      <color rgb="FFFF0000"/>
      <name val="Times New Roman"/>
      <family val="1"/>
    </font>
    <font>
      <sz val="11"/>
      <color theme="0"/>
      <name val="Calibri"/>
      <family val="2"/>
      <scheme val="minor"/>
    </font>
    <font>
      <sz val="9"/>
      <color theme="0"/>
      <name val="Arial"/>
      <family val="2"/>
    </font>
    <font>
      <b/>
      <sz val="8"/>
      <name val="Arial"/>
      <family val="2"/>
    </font>
    <font>
      <i/>
      <sz val="8"/>
      <name val="Arial"/>
      <family val="2"/>
    </font>
    <font>
      <b/>
      <i/>
      <sz val="8"/>
      <name val="Arial"/>
      <family val="2"/>
    </font>
    <font>
      <sz val="12"/>
      <name val="Arial"/>
      <family val="2"/>
    </font>
    <font>
      <sz val="7"/>
      <color theme="0" tint="-0.499984740745262"/>
      <name val="Arial"/>
      <family val="2"/>
    </font>
    <font>
      <sz val="10"/>
      <name val="Times New Roman"/>
      <family val="1"/>
    </font>
    <font>
      <sz val="11"/>
      <color theme="1"/>
      <name val="Arial"/>
      <family val="2"/>
    </font>
    <font>
      <sz val="10"/>
      <name val="Arial"/>
      <family val="2"/>
    </font>
    <font>
      <b/>
      <sz val="12"/>
      <name val="Arial"/>
      <family val="2"/>
    </font>
    <font>
      <sz val="9"/>
      <color indexed="81"/>
      <name val="Tahoma"/>
      <family val="2"/>
    </font>
    <font>
      <sz val="11"/>
      <color theme="1"/>
      <name val="Calibri"/>
      <family val="2"/>
      <scheme val="minor"/>
    </font>
    <font>
      <b/>
      <i/>
      <sz val="12"/>
      <name val="Arial"/>
      <family val="2"/>
    </font>
    <font>
      <i/>
      <sz val="10"/>
      <name val="Arial"/>
      <family val="2"/>
    </font>
    <font>
      <b/>
      <sz val="11"/>
      <name val="Arial"/>
      <family val="2"/>
    </font>
    <font>
      <b/>
      <sz val="16"/>
      <color indexed="10"/>
      <name val="Arial"/>
      <family val="2"/>
    </font>
    <font>
      <b/>
      <sz val="16"/>
      <color indexed="12"/>
      <name val="Arial"/>
      <family val="2"/>
    </font>
    <font>
      <sz val="10"/>
      <color indexed="10"/>
      <name val="Arial"/>
      <family val="2"/>
    </font>
    <font>
      <u/>
      <sz val="11"/>
      <color theme="10"/>
      <name val="Arial"/>
      <family val="2"/>
    </font>
    <font>
      <u/>
      <sz val="8.5"/>
      <color indexed="12"/>
      <name val="Times New Roman"/>
      <family val="1"/>
    </font>
    <font>
      <u/>
      <sz val="11"/>
      <color theme="10"/>
      <name val="Calibri"/>
      <family val="2"/>
    </font>
    <font>
      <u/>
      <sz val="10"/>
      <color indexed="12"/>
      <name val="Arial"/>
      <family val="2"/>
    </font>
    <font>
      <sz val="10"/>
      <name val="Arial Rounded MT Bold"/>
      <family val="2"/>
    </font>
    <font>
      <sz val="10"/>
      <name val="Symbol"/>
      <family val="1"/>
      <charset val="2"/>
    </font>
    <font>
      <sz val="10"/>
      <color indexed="9"/>
      <name val="Arial"/>
      <family val="2"/>
    </font>
    <font>
      <sz val="10"/>
      <name val="MS Sans Serif"/>
      <family val="2"/>
    </font>
    <font>
      <i/>
      <sz val="10"/>
      <name val="MS Sans Serif"/>
      <family val="2"/>
    </font>
    <font>
      <b/>
      <sz val="13.5"/>
      <name val="Symbol"/>
      <family val="1"/>
      <charset val="2"/>
    </font>
    <font>
      <b/>
      <sz val="10"/>
      <name val="MS Sans Serif"/>
      <family val="2"/>
    </font>
    <font>
      <b/>
      <sz val="16"/>
      <name val="MS Sans Serif"/>
      <family val="2"/>
    </font>
    <font>
      <b/>
      <sz val="8.5"/>
      <name val="MS Sans Serif"/>
      <family val="2"/>
    </font>
    <font>
      <sz val="7"/>
      <name val="MS Sans Serif"/>
      <family val="2"/>
    </font>
    <font>
      <b/>
      <sz val="8.5"/>
      <name val="Arial"/>
      <family val="2"/>
    </font>
    <font>
      <sz val="6"/>
      <name val="MS Sans Serif"/>
      <family val="2"/>
    </font>
    <font>
      <sz val="8.5"/>
      <name val="MS Sans Serif"/>
      <family val="2"/>
    </font>
    <font>
      <b/>
      <sz val="7"/>
      <name val="MS Sans Serif"/>
      <family val="2"/>
    </font>
    <font>
      <vertAlign val="subscript"/>
      <sz val="10"/>
      <name val="Arial"/>
      <family val="2"/>
    </font>
    <font>
      <sz val="7"/>
      <name val="SYMBOL"/>
      <family val="1"/>
      <charset val="2"/>
    </font>
    <font>
      <b/>
      <sz val="9"/>
      <color rgb="FF7030A0"/>
      <name val="Arial"/>
      <family val="2"/>
    </font>
    <font>
      <b/>
      <sz val="10"/>
      <color rgb="FF7030A0"/>
      <name val="Arial"/>
      <family val="2"/>
    </font>
    <font>
      <b/>
      <sz val="11"/>
      <color rgb="FF7030A0"/>
      <name val="Arial"/>
      <family val="2"/>
    </font>
    <font>
      <sz val="10"/>
      <color indexed="10"/>
      <name val="MS Sans Serif"/>
      <family val="2"/>
    </font>
    <font>
      <sz val="9"/>
      <name val="MS Sans Serif"/>
      <family val="2"/>
    </font>
    <font>
      <b/>
      <sz val="9"/>
      <name val="MS Sans Serif"/>
      <family val="2"/>
    </font>
    <font>
      <b/>
      <sz val="12"/>
      <color rgb="FFFF0000"/>
      <name val="MS Sans Serif"/>
      <family val="2"/>
    </font>
    <font>
      <sz val="9"/>
      <color indexed="9"/>
      <name val="MS Sans Serif"/>
      <family val="2"/>
    </font>
    <font>
      <sz val="9"/>
      <color indexed="10"/>
      <name val="MS Sans Serif"/>
      <family val="2"/>
    </font>
    <font>
      <b/>
      <sz val="10"/>
      <color indexed="10"/>
      <name val="Arial"/>
      <family val="2"/>
    </font>
    <font>
      <b/>
      <sz val="10"/>
      <color indexed="10"/>
      <name val="MS Sans Serif"/>
      <family val="2"/>
    </font>
    <font>
      <sz val="10"/>
      <color indexed="14"/>
      <name val="MS Sans Serif"/>
      <family val="2"/>
    </font>
    <font>
      <vertAlign val="subscript"/>
      <sz val="8"/>
      <name val="Arial"/>
      <family val="2"/>
    </font>
    <font>
      <b/>
      <sz val="10"/>
      <color theme="3" tint="-0.249977111117893"/>
      <name val="Arial"/>
      <family val="2"/>
    </font>
    <font>
      <sz val="10"/>
      <color theme="3" tint="-0.249977111117893"/>
      <name val="Arial"/>
      <family val="2"/>
    </font>
    <font>
      <i/>
      <sz val="9"/>
      <name val="Arial"/>
      <family val="2"/>
    </font>
    <font>
      <sz val="10"/>
      <color indexed="24"/>
      <name val="Modern"/>
      <family val="3"/>
      <charset val="255"/>
    </font>
    <font>
      <sz val="10"/>
      <name val="Helv"/>
    </font>
    <font>
      <b/>
      <sz val="10"/>
      <color indexed="24"/>
      <name val="Modern"/>
      <family val="3"/>
      <charset val="255"/>
    </font>
    <font>
      <sz val="8"/>
      <color indexed="24"/>
      <name val="Arial"/>
      <family val="2"/>
    </font>
    <font>
      <sz val="10"/>
      <color indexed="24"/>
      <name val="Arial"/>
      <family val="2"/>
    </font>
    <font>
      <sz val="8"/>
      <name val="Courier"/>
      <family val="3"/>
    </font>
    <font>
      <sz val="12"/>
      <name val="Times New Roman"/>
      <family val="1"/>
    </font>
    <font>
      <b/>
      <sz val="16"/>
      <name val="Arial"/>
      <family val="2"/>
    </font>
    <font>
      <sz val="11"/>
      <name val="Arial"/>
      <family val="2"/>
    </font>
    <font>
      <b/>
      <sz val="14"/>
      <color indexed="9"/>
      <name val="Tahoma"/>
      <family val="2"/>
    </font>
    <font>
      <vertAlign val="superscript"/>
      <sz val="10"/>
      <name val="Arial"/>
      <family val="2"/>
    </font>
    <font>
      <vertAlign val="subscript"/>
      <sz val="9"/>
      <name val="Arial"/>
      <family val="2"/>
    </font>
    <font>
      <b/>
      <sz val="8"/>
      <color indexed="8"/>
      <name val="Arial"/>
      <family val="2"/>
    </font>
    <font>
      <b/>
      <sz val="10"/>
      <color indexed="8"/>
      <name val="Arial"/>
      <family val="2"/>
    </font>
    <font>
      <sz val="10"/>
      <name val="Tahoma"/>
      <family val="2"/>
    </font>
    <font>
      <sz val="10"/>
      <color indexed="8"/>
      <name val="Arial"/>
      <family val="2"/>
    </font>
    <font>
      <b/>
      <sz val="11"/>
      <color indexed="8"/>
      <name val="Arial"/>
      <family val="2"/>
    </font>
    <font>
      <b/>
      <sz val="14"/>
      <color indexed="8"/>
      <name val="Arial"/>
      <family val="2"/>
    </font>
    <font>
      <sz val="8"/>
      <color indexed="8"/>
      <name val="Arial"/>
      <family val="2"/>
    </font>
    <font>
      <vertAlign val="superscript"/>
      <sz val="10"/>
      <color indexed="8"/>
      <name val="Arial"/>
      <family val="2"/>
    </font>
    <font>
      <b/>
      <vertAlign val="superscript"/>
      <sz val="10"/>
      <color indexed="8"/>
      <name val="Arial"/>
      <family val="2"/>
    </font>
    <font>
      <b/>
      <sz val="12"/>
      <color indexed="8"/>
      <name val="Arial"/>
      <family val="2"/>
    </font>
    <font>
      <sz val="10"/>
      <color indexed="63"/>
      <name val="Arial"/>
      <family val="2"/>
    </font>
    <font>
      <vertAlign val="subscript"/>
      <sz val="11"/>
      <color theme="1"/>
      <name val="Calibri"/>
      <family val="2"/>
      <scheme val="minor"/>
    </font>
    <font>
      <vertAlign val="subscript"/>
      <sz val="11"/>
      <color indexed="8"/>
      <name val="Calibri"/>
      <family val="2"/>
    </font>
    <font>
      <vertAlign val="subscript"/>
      <sz val="10"/>
      <name val="Tahoma"/>
      <family val="2"/>
    </font>
    <font>
      <b/>
      <sz val="18"/>
      <color indexed="22"/>
      <name val="Arial"/>
      <family val="2"/>
    </font>
    <font>
      <b/>
      <sz val="12"/>
      <color indexed="22"/>
      <name val="Arial"/>
      <family val="2"/>
    </font>
    <font>
      <sz val="16"/>
      <name val="ALLWORK"/>
    </font>
    <font>
      <sz val="8"/>
      <name val="Tahoma"/>
      <family val="2"/>
    </font>
    <font>
      <sz val="16"/>
      <name val="Tahoma"/>
      <family val="2"/>
    </font>
    <font>
      <sz val="9"/>
      <name val="Tahoma"/>
      <family val="2"/>
    </font>
    <font>
      <vertAlign val="superscript"/>
      <sz val="10"/>
      <name val="Tahoma"/>
      <family val="2"/>
    </font>
    <font>
      <sz val="8"/>
      <color theme="1" tint="0.499984740745262"/>
      <name val="Arial"/>
      <family val="2"/>
    </font>
    <font>
      <sz val="9"/>
      <color indexed="10"/>
      <name val="Arial"/>
      <family val="2"/>
    </font>
    <font>
      <i/>
      <sz val="11"/>
      <name val="Arial"/>
      <family val="2"/>
    </font>
    <font>
      <sz val="9"/>
      <color theme="1"/>
      <name val="Arial"/>
      <family val="2"/>
    </font>
    <font>
      <sz val="9"/>
      <color theme="1" tint="0.499984740745262"/>
      <name val="Arial"/>
      <family val="2"/>
    </font>
    <font>
      <b/>
      <sz val="8"/>
      <color theme="1" tint="0.499984740745262"/>
      <name val="Arial"/>
      <family val="2"/>
    </font>
    <font>
      <b/>
      <sz val="8"/>
      <color indexed="10"/>
      <name val="Arial"/>
      <family val="2"/>
    </font>
    <font>
      <sz val="6"/>
      <name val="Arial"/>
      <family val="2"/>
    </font>
    <font>
      <b/>
      <i/>
      <sz val="8"/>
      <color theme="1"/>
      <name val="Arial"/>
      <family val="2"/>
    </font>
    <font>
      <sz val="8.5"/>
      <name val="Arial"/>
      <family val="2"/>
    </font>
    <font>
      <sz val="8"/>
      <color theme="1" tint="0.249977111117893"/>
      <name val="Arial"/>
      <family val="2"/>
    </font>
    <font>
      <sz val="7"/>
      <color theme="1" tint="0.499984740745262"/>
      <name val="Arial"/>
      <family val="2"/>
    </font>
    <font>
      <i/>
      <vertAlign val="subscript"/>
      <sz val="9"/>
      <name val="Arial"/>
      <family val="2"/>
    </font>
    <font>
      <vertAlign val="superscript"/>
      <sz val="9"/>
      <name val="Arial"/>
      <family val="2"/>
    </font>
    <font>
      <vertAlign val="superscript"/>
      <sz val="8"/>
      <name val="Arial"/>
      <family val="2"/>
    </font>
    <font>
      <b/>
      <sz val="9"/>
      <color indexed="8"/>
      <name val="Arial"/>
      <family val="2"/>
    </font>
    <font>
      <b/>
      <vertAlign val="superscript"/>
      <sz val="9"/>
      <color indexed="8"/>
      <name val="Arial"/>
      <family val="2"/>
    </font>
    <font>
      <sz val="9"/>
      <color indexed="8"/>
      <name val="Arial"/>
      <family val="2"/>
    </font>
    <font>
      <vertAlign val="subscript"/>
      <sz val="8"/>
      <color rgb="FFFF0000"/>
      <name val="Arial"/>
      <family val="2"/>
    </font>
    <font>
      <sz val="8"/>
      <color theme="1"/>
      <name val="Tahoma"/>
      <family val="2"/>
    </font>
    <font>
      <vertAlign val="subscript"/>
      <sz val="8"/>
      <color theme="1"/>
      <name val="Tahoma"/>
      <family val="2"/>
    </font>
    <font>
      <sz val="10"/>
      <color theme="1"/>
      <name val="Tahoma"/>
      <family val="2"/>
    </font>
    <font>
      <b/>
      <sz val="10"/>
      <color theme="1"/>
      <name val="Tahoma"/>
      <family val="2"/>
    </font>
    <font>
      <vertAlign val="superscript"/>
      <sz val="8"/>
      <color theme="1"/>
      <name val="Tahoma"/>
      <family val="2"/>
    </font>
    <font>
      <b/>
      <sz val="9"/>
      <color theme="1"/>
      <name val="Tahoma"/>
      <family val="2"/>
    </font>
    <font>
      <b/>
      <sz val="8"/>
      <color theme="1"/>
      <name val="Tahoma"/>
      <family val="2"/>
    </font>
    <font>
      <sz val="8"/>
      <color theme="1"/>
      <name val="Arial"/>
      <family val="2"/>
    </font>
    <font>
      <sz val="10"/>
      <color theme="1"/>
      <name val="Arial"/>
      <family val="2"/>
    </font>
    <font>
      <b/>
      <sz val="9"/>
      <color rgb="FFFFFFFF"/>
      <name val="Calibri"/>
      <family val="2"/>
    </font>
    <font>
      <sz val="12"/>
      <name val="Calibri"/>
      <family val="2"/>
      <scheme val="minor"/>
    </font>
    <font>
      <sz val="10"/>
      <name val="Calibri"/>
      <family val="2"/>
      <scheme val="minor"/>
    </font>
    <font>
      <sz val="11"/>
      <name val="Calibri"/>
      <family val="2"/>
      <scheme val="minor"/>
    </font>
    <font>
      <sz val="12"/>
      <color theme="1"/>
      <name val="Calibri"/>
      <family val="2"/>
      <scheme val="minor"/>
    </font>
    <font>
      <b/>
      <sz val="11"/>
      <color theme="1"/>
      <name val="Arial"/>
      <family val="2"/>
    </font>
    <font>
      <sz val="8"/>
      <color rgb="FFFF0000"/>
      <name val="Tahoma"/>
      <family val="2"/>
    </font>
    <font>
      <sz val="9"/>
      <color rgb="FFFF0000"/>
      <name val="Tahoma"/>
      <family val="2"/>
    </font>
    <font>
      <sz val="10"/>
      <color rgb="FFFF0000"/>
      <name val="Tahoma"/>
      <family val="2"/>
    </font>
    <font>
      <b/>
      <sz val="10"/>
      <color rgb="FFFF0000"/>
      <name val="Arial"/>
      <family val="2"/>
    </font>
    <font>
      <b/>
      <sz val="10"/>
      <color rgb="FFFFFF00"/>
      <name val="Arial"/>
      <family val="2"/>
    </font>
    <font>
      <sz val="10"/>
      <color rgb="FFFFFF00"/>
      <name val="Arial"/>
      <family val="2"/>
    </font>
    <font>
      <sz val="8"/>
      <color rgb="FFFFFF00"/>
      <name val="Arial"/>
      <family val="2"/>
    </font>
    <font>
      <sz val="10"/>
      <name val="Calibri"/>
      <family val="2"/>
    </font>
    <font>
      <b/>
      <sz val="9"/>
      <color theme="1"/>
      <name val="Arial"/>
      <family val="2"/>
    </font>
    <font>
      <sz val="8"/>
      <name val="MS Sans Serif"/>
      <family val="2"/>
    </font>
    <font>
      <sz val="9"/>
      <color theme="1" tint="0.499984740745262"/>
      <name val="Calibri"/>
      <family val="2"/>
      <scheme val="minor"/>
    </font>
    <font>
      <sz val="6.5"/>
      <name val="Arial"/>
      <family val="2"/>
    </font>
    <font>
      <sz val="8"/>
      <color theme="0"/>
      <name val="Arial"/>
      <family val="2"/>
    </font>
    <font>
      <b/>
      <sz val="8"/>
      <color theme="1"/>
      <name val="Arial"/>
      <family val="2"/>
    </font>
    <font>
      <sz val="8"/>
      <color theme="0"/>
      <name val="Calibri"/>
      <family val="2"/>
      <scheme val="minor"/>
    </font>
    <font>
      <b/>
      <sz val="8"/>
      <color rgb="FFFFFF00"/>
      <name val="Arial"/>
      <family val="2"/>
    </font>
    <font>
      <sz val="8"/>
      <color theme="0" tint="-0.499984740745262"/>
      <name val="Arial"/>
      <family val="2"/>
    </font>
    <font>
      <sz val="8"/>
      <name val="Calibri"/>
      <family val="2"/>
    </font>
    <font>
      <sz val="7"/>
      <color theme="1"/>
      <name val="Arial"/>
      <family val="2"/>
    </font>
    <font>
      <b/>
      <sz val="9"/>
      <name val="Tahoma"/>
      <family val="2"/>
    </font>
    <font>
      <sz val="9"/>
      <name val="Calibri"/>
      <family val="2"/>
    </font>
    <font>
      <b/>
      <i/>
      <sz val="9"/>
      <name val="Arial"/>
      <family val="2"/>
    </font>
    <font>
      <i/>
      <sz val="10"/>
      <name val="Times New Roman"/>
      <family val="1"/>
    </font>
    <font>
      <sz val="9"/>
      <name val="Times New Roman"/>
      <family val="1"/>
    </font>
    <font>
      <i/>
      <sz val="9"/>
      <name val="Times New Roman"/>
      <family val="1"/>
    </font>
    <font>
      <sz val="10"/>
      <color theme="1" tint="0.499984740745262"/>
      <name val="Arial"/>
      <family val="2"/>
    </font>
    <font>
      <sz val="9"/>
      <color theme="0" tint="-0.499984740745262"/>
      <name val="Arial"/>
      <family val="2"/>
    </font>
    <font>
      <sz val="10"/>
      <color theme="0" tint="-0.14999847407452621"/>
      <name val="Arial"/>
      <family val="2"/>
    </font>
    <font>
      <sz val="9"/>
      <color theme="0" tint="-0.34998626667073579"/>
      <name val="Arial"/>
      <family val="2"/>
    </font>
    <font>
      <sz val="7"/>
      <color rgb="FFFF0000"/>
      <name val="Arial"/>
      <family val="2"/>
    </font>
    <font>
      <sz val="8"/>
      <color theme="0" tint="-0.34998626667073579"/>
      <name val="Arial"/>
      <family val="2"/>
    </font>
    <font>
      <sz val="10"/>
      <color theme="0" tint="-0.34998626667073579"/>
      <name val="Arial"/>
      <family val="2"/>
    </font>
    <font>
      <sz val="10"/>
      <color theme="0" tint="-0.499984740745262"/>
      <name val="Arial"/>
      <family val="2"/>
    </font>
    <font>
      <sz val="10"/>
      <color theme="0"/>
      <name val="Calibri"/>
      <family val="2"/>
    </font>
    <font>
      <b/>
      <sz val="10"/>
      <color theme="0" tint="-0.499984740745262"/>
      <name val="Arial"/>
      <family val="2"/>
    </font>
    <font>
      <sz val="10"/>
      <color theme="1"/>
      <name val="Calibri"/>
      <family val="2"/>
    </font>
    <font>
      <i/>
      <u/>
      <sz val="10"/>
      <name val="Arial"/>
      <family val="2"/>
    </font>
    <font>
      <sz val="10"/>
      <color theme="0" tint="-0.249977111117893"/>
      <name val="Arial"/>
      <family val="2"/>
    </font>
    <font>
      <b/>
      <sz val="9"/>
      <color indexed="81"/>
      <name val="Tahoma"/>
      <family val="2"/>
    </font>
  </fonts>
  <fills count="49">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15"/>
        <bgColor indexed="64"/>
      </patternFill>
    </fill>
    <fill>
      <patternFill patternType="solid">
        <fgColor theme="9" tint="0.79998168889431442"/>
        <bgColor indexed="64"/>
      </patternFill>
    </fill>
    <fill>
      <patternFill patternType="solid">
        <fgColor indexed="22"/>
        <bgColor indexed="64"/>
      </patternFill>
    </fill>
    <fill>
      <patternFill patternType="solid">
        <fgColor indexed="13"/>
        <bgColor indexed="64"/>
      </patternFill>
    </fill>
    <fill>
      <patternFill patternType="solid">
        <fgColor indexed="52"/>
        <bgColor indexed="64"/>
      </patternFill>
    </fill>
    <fill>
      <patternFill patternType="solid">
        <fgColor indexed="43"/>
        <bgColor indexed="64"/>
      </patternFill>
    </fill>
    <fill>
      <patternFill patternType="solid">
        <fgColor indexed="65"/>
        <bgColor indexed="64"/>
      </patternFill>
    </fill>
    <fill>
      <patternFill patternType="solid">
        <fgColor indexed="10"/>
        <bgColor indexed="64"/>
      </patternFill>
    </fill>
    <fill>
      <patternFill patternType="gray0625">
        <bgColor theme="0"/>
      </patternFill>
    </fill>
    <fill>
      <patternFill patternType="gray0625">
        <fgColor theme="1" tint="0.499984740745262"/>
        <bgColor indexed="65"/>
      </patternFill>
    </fill>
    <fill>
      <patternFill patternType="gray0625">
        <fgColor theme="0" tint="-0.499984740745262"/>
        <bgColor theme="0"/>
      </patternFill>
    </fill>
    <fill>
      <patternFill patternType="gray0625">
        <fgColor theme="0" tint="-0.24994659260841701"/>
        <bgColor indexed="65"/>
      </patternFill>
    </fill>
    <fill>
      <patternFill patternType="solid">
        <fgColor rgb="FFFF0000"/>
        <bgColor indexed="64"/>
      </patternFill>
    </fill>
    <fill>
      <patternFill patternType="solid">
        <fgColor rgb="FF17365D"/>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gray0625">
        <bgColor theme="9" tint="0.39994506668294322"/>
      </patternFill>
    </fill>
  </fills>
  <borders count="403">
    <border>
      <left/>
      <right/>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n">
        <color theme="1" tint="0.499984740745262"/>
      </bottom>
      <diagonal/>
    </border>
    <border>
      <left style="thin">
        <color indexed="64"/>
      </left>
      <right/>
      <top/>
      <bottom style="double">
        <color theme="1"/>
      </bottom>
      <diagonal/>
    </border>
    <border>
      <left/>
      <right/>
      <top/>
      <bottom style="double">
        <color theme="1"/>
      </bottom>
      <diagonal/>
    </border>
    <border>
      <left style="thin">
        <color theme="1"/>
      </left>
      <right/>
      <top/>
      <bottom style="double">
        <color theme="1"/>
      </bottom>
      <diagonal/>
    </border>
    <border>
      <left/>
      <right style="thin">
        <color theme="1"/>
      </right>
      <top/>
      <bottom style="double">
        <color theme="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right/>
      <top style="thin">
        <color theme="1" tint="0.499984740745262"/>
      </top>
      <bottom/>
      <diagonal/>
    </border>
    <border>
      <left style="hair">
        <color indexed="64"/>
      </left>
      <right/>
      <top style="hair">
        <color indexed="64"/>
      </top>
      <bottom style="hair">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uble">
        <color indexed="64"/>
      </top>
      <bottom style="thin">
        <color theme="1" tint="0.499984740745262"/>
      </bottom>
      <diagonal/>
    </border>
    <border>
      <left/>
      <right/>
      <top style="hair">
        <color indexed="64"/>
      </top>
      <bottom/>
      <diagonal/>
    </border>
    <border>
      <left style="thin">
        <color indexed="64"/>
      </left>
      <right/>
      <top style="thin">
        <color theme="0" tint="-0.499984740745262"/>
      </top>
      <bottom/>
      <diagonal/>
    </border>
    <border>
      <left/>
      <right/>
      <top style="thin">
        <color theme="0" tint="-0.499984740745262"/>
      </top>
      <bottom/>
      <diagonal/>
    </border>
    <border>
      <left/>
      <right style="thin">
        <color indexed="64"/>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right style="thin">
        <color indexed="64"/>
      </right>
      <top/>
      <bottom style="double">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medium">
        <color indexed="64"/>
      </left>
      <right/>
      <top style="thin">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theme="1"/>
      </top>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thin">
        <color indexed="64"/>
      </bottom>
      <diagonal/>
    </border>
    <border>
      <left/>
      <right style="thin">
        <color theme="1"/>
      </right>
      <top style="thin">
        <color indexed="64"/>
      </top>
      <bottom/>
      <diagonal/>
    </border>
    <border>
      <left style="thin">
        <color indexed="64"/>
      </left>
      <right style="thin">
        <color theme="1"/>
      </right>
      <top/>
      <bottom style="thin">
        <color indexed="64"/>
      </bottom>
      <diagonal/>
    </border>
    <border>
      <left style="thin">
        <color theme="1"/>
      </left>
      <right/>
      <top/>
      <bottom style="double">
        <color indexed="64"/>
      </bottom>
      <diagonal/>
    </border>
    <border>
      <left style="thin">
        <color theme="1"/>
      </left>
      <right style="thin">
        <color indexed="64"/>
      </right>
      <top/>
      <bottom/>
      <diagonal/>
    </border>
    <border>
      <left style="thin">
        <color theme="1"/>
      </left>
      <right/>
      <top style="thin">
        <color indexed="64"/>
      </top>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style="thin">
        <color indexed="10"/>
      </bottom>
      <diagonal/>
    </border>
    <border>
      <left/>
      <right style="medium">
        <color indexed="10"/>
      </right>
      <top/>
      <bottom style="thin">
        <color indexed="10"/>
      </bottom>
      <diagonal/>
    </border>
    <border>
      <left style="medium">
        <color indexed="10"/>
      </left>
      <right style="thin">
        <color indexed="10"/>
      </right>
      <top style="thin">
        <color indexed="10"/>
      </top>
      <bottom style="medium">
        <color indexed="10"/>
      </bottom>
      <diagonal/>
    </border>
    <border>
      <left style="thin">
        <color indexed="10"/>
      </left>
      <right style="medium">
        <color indexed="10"/>
      </right>
      <top style="thin">
        <color indexed="10"/>
      </top>
      <bottom style="medium">
        <color indexed="10"/>
      </bottom>
      <diagonal/>
    </border>
    <border>
      <left style="medium">
        <color indexed="10"/>
      </left>
      <right style="thin">
        <color indexed="10"/>
      </right>
      <top style="thin">
        <color indexed="10"/>
      </top>
      <bottom style="thin">
        <color indexed="10"/>
      </bottom>
      <diagonal/>
    </border>
    <border>
      <left style="thin">
        <color indexed="10"/>
      </left>
      <right style="medium">
        <color indexed="10"/>
      </right>
      <top style="thin">
        <color indexed="10"/>
      </top>
      <bottom style="thin">
        <color indexed="10"/>
      </bottom>
      <diagonal/>
    </border>
    <border>
      <left style="medium">
        <color indexed="10"/>
      </left>
      <right style="thin">
        <color indexed="10"/>
      </right>
      <top style="medium">
        <color indexed="10"/>
      </top>
      <bottom style="thin">
        <color indexed="10"/>
      </bottom>
      <diagonal/>
    </border>
    <border>
      <left style="thin">
        <color indexed="10"/>
      </left>
      <right style="medium">
        <color indexed="10"/>
      </right>
      <top style="medium">
        <color indexed="10"/>
      </top>
      <bottom style="thin">
        <color indexed="10"/>
      </bottom>
      <diagonal/>
    </border>
    <border>
      <left style="thin">
        <color indexed="12"/>
      </left>
      <right style="thin">
        <color indexed="12"/>
      </right>
      <top style="thin">
        <color indexed="12"/>
      </top>
      <bottom style="thin">
        <color indexed="12"/>
      </bottom>
      <diagonal/>
    </border>
    <border>
      <left style="double">
        <color indexed="17"/>
      </left>
      <right/>
      <top style="double">
        <color indexed="17"/>
      </top>
      <bottom/>
      <diagonal/>
    </border>
    <border>
      <left/>
      <right style="double">
        <color indexed="17"/>
      </right>
      <top style="double">
        <color indexed="17"/>
      </top>
      <bottom/>
      <diagonal/>
    </border>
    <border>
      <left style="double">
        <color indexed="17"/>
      </left>
      <right/>
      <top/>
      <bottom/>
      <diagonal/>
    </border>
    <border>
      <left/>
      <right style="double">
        <color indexed="17"/>
      </right>
      <top/>
      <bottom/>
      <diagonal/>
    </border>
    <border>
      <left style="double">
        <color indexed="17"/>
      </left>
      <right/>
      <top/>
      <bottom style="double">
        <color indexed="17"/>
      </bottom>
      <diagonal/>
    </border>
    <border>
      <left/>
      <right style="double">
        <color indexed="17"/>
      </right>
      <top/>
      <bottom style="double">
        <color indexed="17"/>
      </bottom>
      <diagonal/>
    </border>
    <border>
      <left style="medium">
        <color indexed="60"/>
      </left>
      <right/>
      <top style="medium">
        <color indexed="60"/>
      </top>
      <bottom/>
      <diagonal/>
    </border>
    <border>
      <left/>
      <right/>
      <top style="medium">
        <color indexed="60"/>
      </top>
      <bottom/>
      <diagonal/>
    </border>
    <border>
      <left/>
      <right style="medium">
        <color indexed="60"/>
      </right>
      <top style="medium">
        <color indexed="60"/>
      </top>
      <bottom/>
      <diagonal/>
    </border>
    <border>
      <left style="medium">
        <color indexed="60"/>
      </left>
      <right/>
      <top/>
      <bottom/>
      <diagonal/>
    </border>
    <border>
      <left/>
      <right style="medium">
        <color indexed="60"/>
      </right>
      <top/>
      <bottom/>
      <diagonal/>
    </border>
    <border>
      <left style="medium">
        <color indexed="60"/>
      </left>
      <right/>
      <top/>
      <bottom style="medium">
        <color indexed="60"/>
      </bottom>
      <diagonal/>
    </border>
    <border>
      <left/>
      <right/>
      <top/>
      <bottom style="medium">
        <color indexed="60"/>
      </bottom>
      <diagonal/>
    </border>
    <border>
      <left/>
      <right style="medium">
        <color indexed="60"/>
      </right>
      <top/>
      <bottom style="medium">
        <color indexed="60"/>
      </bottom>
      <diagonal/>
    </border>
    <border>
      <left style="thin">
        <color indexed="64"/>
      </left>
      <right style="thin">
        <color theme="1"/>
      </right>
      <top style="thin">
        <color indexed="64"/>
      </top>
      <bottom/>
      <diagonal/>
    </border>
    <border>
      <left style="hair">
        <color indexed="64"/>
      </left>
      <right/>
      <top style="hair">
        <color indexed="64"/>
      </top>
      <bottom style="thin">
        <color indexed="64"/>
      </bottom>
      <diagonal/>
    </border>
    <border>
      <left/>
      <right style="thin">
        <color indexed="64"/>
      </right>
      <top style="thin">
        <color theme="1"/>
      </top>
      <bottom/>
      <diagonal/>
    </border>
    <border>
      <left style="thin">
        <color theme="1"/>
      </left>
      <right/>
      <top/>
      <bottom style="thin">
        <color indexed="64"/>
      </bottom>
      <diagonal/>
    </border>
    <border>
      <left/>
      <right/>
      <top style="dotted">
        <color theme="1" tint="0.499984740745262"/>
      </top>
      <bottom style="dotted">
        <color theme="1" tint="0.499984740745262"/>
      </bottom>
      <diagonal/>
    </border>
    <border>
      <left/>
      <right/>
      <top style="dotted">
        <color theme="1" tint="0.499984740745262"/>
      </top>
      <bottom style="thin">
        <color indexed="64"/>
      </bottom>
      <diagonal/>
    </border>
    <border>
      <left style="thin">
        <color indexed="64"/>
      </left>
      <right/>
      <top/>
      <bottom style="dotted">
        <color theme="1" tint="0.499984740745262"/>
      </bottom>
      <diagonal/>
    </border>
    <border>
      <left/>
      <right/>
      <top/>
      <bottom style="dotted">
        <color theme="1" tint="0.499984740745262"/>
      </bottom>
      <diagonal/>
    </border>
    <border>
      <left/>
      <right style="thin">
        <color indexed="64"/>
      </right>
      <top/>
      <bottom style="dotted">
        <color theme="1" tint="0.499984740745262"/>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theme="1"/>
      </right>
      <top style="thin">
        <color theme="1"/>
      </top>
      <bottom style="thin">
        <color indexed="64"/>
      </bottom>
      <diagonal/>
    </border>
    <border>
      <left style="thin">
        <color theme="1"/>
      </left>
      <right/>
      <top style="dotted">
        <color theme="1" tint="0.499984740745262"/>
      </top>
      <bottom style="dotted">
        <color theme="1" tint="0.499984740745262"/>
      </bottom>
      <diagonal/>
    </border>
    <border>
      <left/>
      <right style="thin">
        <color theme="1"/>
      </right>
      <top/>
      <bottom style="dotted">
        <color theme="1" tint="0.499984740745262"/>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double">
        <color indexed="64"/>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bottom style="thin">
        <color theme="1"/>
      </bottom>
      <diagonal/>
    </border>
    <border>
      <left/>
      <right style="thin">
        <color indexed="64"/>
      </right>
      <top/>
      <bottom style="thin">
        <color theme="1"/>
      </bottom>
      <diagonal/>
    </border>
    <border>
      <left/>
      <right/>
      <top style="thin">
        <color indexed="64"/>
      </top>
      <bottom style="thin">
        <color theme="1" tint="0.499984740745262"/>
      </bottom>
      <diagonal/>
    </border>
    <border>
      <left style="thin">
        <color indexed="64"/>
      </left>
      <right/>
      <top style="double">
        <color theme="1"/>
      </top>
      <bottom style="double">
        <color indexed="64"/>
      </bottom>
      <diagonal/>
    </border>
    <border>
      <left/>
      <right/>
      <top style="double">
        <color theme="1"/>
      </top>
      <bottom style="double">
        <color indexed="64"/>
      </bottom>
      <diagonal/>
    </border>
    <border>
      <left style="dashed">
        <color theme="1" tint="0.499984740745262"/>
      </left>
      <right/>
      <top style="thin">
        <color indexed="64"/>
      </top>
      <bottom/>
      <diagonal/>
    </border>
    <border>
      <left style="thin">
        <color indexed="64"/>
      </left>
      <right/>
      <top style="dashed">
        <color theme="1" tint="0.499984740745262"/>
      </top>
      <bottom style="thin">
        <color indexed="64"/>
      </bottom>
      <diagonal/>
    </border>
    <border>
      <left/>
      <right/>
      <top style="dashed">
        <color theme="1" tint="0.499984740745262"/>
      </top>
      <bottom style="thin">
        <color indexed="64"/>
      </bottom>
      <diagonal/>
    </border>
    <border>
      <left style="dashed">
        <color theme="1" tint="0.499984740745262"/>
      </left>
      <right/>
      <top style="dashed">
        <color theme="1" tint="0.499984740745262"/>
      </top>
      <bottom style="thin">
        <color indexed="64"/>
      </bottom>
      <diagonal/>
    </border>
    <border>
      <left/>
      <right style="thin">
        <color indexed="64"/>
      </right>
      <top style="dashed">
        <color theme="1" tint="0.499984740745262"/>
      </top>
      <bottom style="thin">
        <color indexed="64"/>
      </bottom>
      <diagonal/>
    </border>
    <border>
      <left style="thin">
        <color indexed="64"/>
      </left>
      <right style="thin">
        <color indexed="64"/>
      </right>
      <top style="thin">
        <color theme="1"/>
      </top>
      <bottom style="dashed">
        <color theme="1" tint="0.499984740745262"/>
      </bottom>
      <diagonal/>
    </border>
    <border>
      <left style="thin">
        <color indexed="64"/>
      </left>
      <right/>
      <top style="thin">
        <color theme="1"/>
      </top>
      <bottom style="dashed">
        <color theme="1" tint="0.499984740745262"/>
      </bottom>
      <diagonal/>
    </border>
    <border>
      <left/>
      <right/>
      <top style="thin">
        <color theme="1"/>
      </top>
      <bottom style="dashed">
        <color theme="1" tint="0.499984740745262"/>
      </bottom>
      <diagonal/>
    </border>
    <border>
      <left/>
      <right style="thin">
        <color indexed="64"/>
      </right>
      <top style="thin">
        <color theme="1"/>
      </top>
      <bottom style="dashed">
        <color theme="1" tint="0.499984740745262"/>
      </bottom>
      <diagonal/>
    </border>
    <border>
      <left style="thin">
        <color indexed="64"/>
      </left>
      <right style="thin">
        <color indexed="64"/>
      </right>
      <top/>
      <bottom style="dashed">
        <color theme="1" tint="0.499984740745262"/>
      </bottom>
      <diagonal/>
    </border>
    <border>
      <left style="thin">
        <color indexed="64"/>
      </left>
      <right/>
      <top/>
      <bottom style="dashed">
        <color theme="1" tint="0.499984740745262"/>
      </bottom>
      <diagonal/>
    </border>
    <border>
      <left/>
      <right/>
      <top/>
      <bottom style="dashed">
        <color theme="1" tint="0.499984740745262"/>
      </bottom>
      <diagonal/>
    </border>
    <border>
      <left style="thin">
        <color indexed="64"/>
      </left>
      <right style="thin">
        <color indexed="64"/>
      </right>
      <top style="dashed">
        <color theme="1" tint="0.499984740745262"/>
      </top>
      <bottom style="dashed">
        <color theme="1" tint="0.499984740745262"/>
      </bottom>
      <diagonal/>
    </border>
    <border>
      <left style="thin">
        <color indexed="64"/>
      </left>
      <right/>
      <top style="dashed">
        <color theme="1" tint="0.499984740745262"/>
      </top>
      <bottom style="dashed">
        <color theme="1" tint="0.499984740745262"/>
      </bottom>
      <diagonal/>
    </border>
    <border>
      <left/>
      <right/>
      <top style="dashed">
        <color theme="1" tint="0.499984740745262"/>
      </top>
      <bottom style="dashed">
        <color theme="1" tint="0.499984740745262"/>
      </bottom>
      <diagonal/>
    </border>
    <border>
      <left/>
      <right style="thin">
        <color indexed="64"/>
      </right>
      <top style="dashed">
        <color theme="1" tint="0.499984740745262"/>
      </top>
      <bottom style="dashed">
        <color theme="1" tint="0.499984740745262"/>
      </bottom>
      <diagonal/>
    </border>
    <border>
      <left style="dashed">
        <color theme="1" tint="0.499984740745262"/>
      </left>
      <right style="thin">
        <color indexed="64"/>
      </right>
      <top style="dashed">
        <color theme="1" tint="0.499984740745262"/>
      </top>
      <bottom style="dashed">
        <color theme="1" tint="0.499984740745262"/>
      </bottom>
      <diagonal/>
    </border>
    <border>
      <left style="thin">
        <color indexed="64"/>
      </left>
      <right style="dashed">
        <color theme="1" tint="0.499984740745262"/>
      </right>
      <top style="dashed">
        <color theme="1" tint="0.499984740745262"/>
      </top>
      <bottom style="dashed">
        <color theme="1" tint="0.499984740745262"/>
      </bottom>
      <diagonal/>
    </border>
    <border>
      <left style="dashed">
        <color theme="1" tint="0.499984740745262"/>
      </left>
      <right/>
      <top style="dashed">
        <color theme="1" tint="0.499984740745262"/>
      </top>
      <bottom style="dashed">
        <color theme="1" tint="0.499984740745262"/>
      </bottom>
      <diagonal/>
    </border>
    <border>
      <left/>
      <right style="thin">
        <color indexed="64"/>
      </right>
      <top style="dashed">
        <color theme="1" tint="0.499984740745262"/>
      </top>
      <bottom/>
      <diagonal/>
    </border>
    <border>
      <left style="thin">
        <color indexed="64"/>
      </left>
      <right style="dashed">
        <color theme="1" tint="0.499984740745262"/>
      </right>
      <top/>
      <bottom/>
      <diagonal/>
    </border>
    <border>
      <left style="thin">
        <color indexed="64"/>
      </left>
      <right/>
      <top style="thin">
        <color indexed="64"/>
      </top>
      <bottom style="dashed">
        <color theme="1" tint="0.499984740745262"/>
      </bottom>
      <diagonal/>
    </border>
    <border>
      <left/>
      <right/>
      <top style="thin">
        <color indexed="64"/>
      </top>
      <bottom style="dashed">
        <color theme="1" tint="0.499984740745262"/>
      </bottom>
      <diagonal/>
    </border>
    <border>
      <left/>
      <right style="thin">
        <color indexed="64"/>
      </right>
      <top style="thin">
        <color indexed="64"/>
      </top>
      <bottom style="dashed">
        <color theme="1" tint="0.499984740745262"/>
      </bottom>
      <diagonal/>
    </border>
    <border>
      <left/>
      <right style="dashed">
        <color theme="1" tint="0.499984740745262"/>
      </right>
      <top style="thin">
        <color indexed="64"/>
      </top>
      <bottom style="dashed">
        <color theme="1" tint="0.499984740745262"/>
      </bottom>
      <diagonal/>
    </border>
    <border>
      <left/>
      <right style="dashed">
        <color theme="1" tint="0.499984740745262"/>
      </right>
      <top style="dashed">
        <color theme="1" tint="0.499984740745262"/>
      </top>
      <bottom style="dashed">
        <color theme="1" tint="0.499984740745262"/>
      </bottom>
      <diagonal/>
    </border>
    <border>
      <left style="dashed">
        <color theme="1" tint="0.499984740745262"/>
      </left>
      <right/>
      <top/>
      <bottom/>
      <diagonal/>
    </border>
    <border>
      <left style="dashed">
        <color theme="1" tint="0.499984740745262"/>
      </left>
      <right/>
      <top/>
      <bottom style="thin">
        <color indexed="64"/>
      </bottom>
      <diagonal/>
    </border>
    <border>
      <left/>
      <right style="dashed">
        <color theme="1" tint="0.499984740745262"/>
      </right>
      <top style="thin">
        <color theme="1"/>
      </top>
      <bottom/>
      <diagonal/>
    </border>
    <border>
      <left/>
      <right style="dashed">
        <color theme="1" tint="0.499984740745262"/>
      </right>
      <top/>
      <bottom/>
      <diagonal/>
    </border>
    <border>
      <left/>
      <right style="dashed">
        <color theme="1" tint="0.499984740745262"/>
      </right>
      <top/>
      <bottom style="thin">
        <color indexed="64"/>
      </bottom>
      <diagonal/>
    </border>
    <border>
      <left style="dashed">
        <color theme="1" tint="0.499984740745262"/>
      </left>
      <right/>
      <top style="dashed">
        <color theme="1" tint="0.499984740745262"/>
      </top>
      <bottom/>
      <diagonal/>
    </border>
    <border>
      <left/>
      <right/>
      <top style="dashed">
        <color theme="1" tint="0.499984740745262"/>
      </top>
      <bottom/>
      <diagonal/>
    </border>
    <border>
      <left/>
      <right style="dashed">
        <color theme="1" tint="0.499984740745262"/>
      </right>
      <top style="dashed">
        <color theme="1" tint="0.499984740745262"/>
      </top>
      <bottom/>
      <diagonal/>
    </border>
    <border>
      <left style="dashed">
        <color theme="1" tint="0.499984740745262"/>
      </left>
      <right/>
      <top/>
      <bottom style="dashed">
        <color theme="1" tint="0.499984740745262"/>
      </bottom>
      <diagonal/>
    </border>
    <border>
      <left/>
      <right style="dashed">
        <color theme="1" tint="0.499984740745262"/>
      </right>
      <top/>
      <bottom style="dashed">
        <color theme="1" tint="0.499984740745262"/>
      </bottom>
      <diagonal/>
    </border>
    <border>
      <left style="dashed">
        <color theme="1" tint="0.499984740745262"/>
      </left>
      <right/>
      <top style="thin">
        <color theme="1"/>
      </top>
      <bottom/>
      <diagonal/>
    </border>
    <border>
      <left style="thin">
        <color theme="1"/>
      </left>
      <right/>
      <top style="dashed">
        <color theme="1" tint="0.499984740745262"/>
      </top>
      <bottom/>
      <diagonal/>
    </border>
    <border>
      <left/>
      <right style="thin">
        <color theme="1"/>
      </right>
      <top style="dashed">
        <color theme="1" tint="0.499984740745262"/>
      </top>
      <bottom/>
      <diagonal/>
    </border>
    <border>
      <left style="thin">
        <color theme="1"/>
      </left>
      <right/>
      <top/>
      <bottom style="dashed">
        <color theme="1" tint="0.499984740745262"/>
      </bottom>
      <diagonal/>
    </border>
    <border>
      <left/>
      <right style="thin">
        <color theme="1"/>
      </right>
      <top/>
      <bottom style="dashed">
        <color theme="1" tint="0.499984740745262"/>
      </bottom>
      <diagonal/>
    </border>
    <border>
      <left/>
      <right style="dashed">
        <color theme="1" tint="0.499984740745262"/>
      </right>
      <top/>
      <bottom style="thin">
        <color theme="1"/>
      </bottom>
      <diagonal/>
    </border>
    <border>
      <left/>
      <right style="thin">
        <color theme="1"/>
      </right>
      <top style="thin">
        <color theme="1"/>
      </top>
      <bottom style="double">
        <color indexed="64"/>
      </bottom>
      <diagonal/>
    </border>
    <border>
      <left/>
      <right/>
      <top style="thin">
        <color theme="1"/>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bottom style="dashed">
        <color theme="1" tint="0.499984740745262"/>
      </bottom>
      <diagonal/>
    </border>
    <border>
      <left style="thin">
        <color indexed="64"/>
      </left>
      <right/>
      <top style="dashed">
        <color theme="1" tint="0.499984740745262"/>
      </top>
      <bottom/>
      <diagonal/>
    </border>
    <border>
      <left/>
      <right style="dashed">
        <color theme="1" tint="0.499984740745262"/>
      </right>
      <top style="thin">
        <color indexed="64"/>
      </top>
      <bottom/>
      <diagonal/>
    </border>
    <border>
      <left/>
      <right style="thin">
        <color theme="1"/>
      </right>
      <top style="thin">
        <color theme="1"/>
      </top>
      <bottom style="dashed">
        <color theme="1" tint="0.499984740745262"/>
      </bottom>
      <diagonal/>
    </border>
    <border>
      <left style="thin">
        <color theme="1"/>
      </left>
      <right/>
      <top style="thin">
        <color theme="1"/>
      </top>
      <bottom style="dashed">
        <color theme="1" tint="0.499984740745262"/>
      </bottom>
      <diagonal/>
    </border>
    <border>
      <left/>
      <right style="dashed">
        <color theme="1" tint="0.499984740745262"/>
      </right>
      <top style="thin">
        <color theme="1"/>
      </top>
      <bottom style="dashed">
        <color theme="1" tint="0.499984740745262"/>
      </bottom>
      <diagonal/>
    </border>
    <border>
      <left style="thin">
        <color theme="1"/>
      </left>
      <right/>
      <top style="dashed">
        <color theme="1" tint="0.499984740745262"/>
      </top>
      <bottom style="thin">
        <color theme="1"/>
      </bottom>
      <diagonal/>
    </border>
    <border>
      <left/>
      <right style="dashed">
        <color theme="1" tint="0.499984740745262"/>
      </right>
      <top style="dashed">
        <color theme="1" tint="0.499984740745262"/>
      </top>
      <bottom style="thin">
        <color theme="1"/>
      </bottom>
      <diagonal/>
    </border>
    <border>
      <left style="dashed">
        <color theme="1" tint="0.499984740745262"/>
      </left>
      <right/>
      <top style="dashed">
        <color theme="1" tint="0.499984740745262"/>
      </top>
      <bottom style="thin">
        <color theme="1"/>
      </bottom>
      <diagonal/>
    </border>
    <border>
      <left/>
      <right style="thin">
        <color theme="1"/>
      </right>
      <top style="dashed">
        <color theme="1" tint="0.499984740745262"/>
      </top>
      <bottom style="thin">
        <color theme="1"/>
      </bottom>
      <diagonal/>
    </border>
    <border>
      <left/>
      <right style="dashed">
        <color theme="1" tint="0.499984740745262"/>
      </right>
      <top/>
      <bottom style="double">
        <color theme="1"/>
      </bottom>
      <diagonal/>
    </border>
    <border>
      <left/>
      <right style="thin">
        <color theme="1"/>
      </right>
      <top style="dashed">
        <color theme="1" tint="0.499984740745262"/>
      </top>
      <bottom style="dashed">
        <color theme="1" tint="0.499984740745262"/>
      </bottom>
      <diagonal/>
    </border>
    <border>
      <left style="thin">
        <color indexed="64"/>
      </left>
      <right style="thin">
        <color indexed="64"/>
      </right>
      <top/>
      <bottom style="thin">
        <color theme="1"/>
      </bottom>
      <diagonal/>
    </border>
    <border>
      <left style="thin">
        <color indexed="64"/>
      </left>
      <right style="thin">
        <color theme="1"/>
      </right>
      <top/>
      <bottom style="thin">
        <color theme="1"/>
      </bottom>
      <diagonal/>
    </border>
    <border>
      <left style="thin">
        <color indexed="64"/>
      </left>
      <right/>
      <top style="thin">
        <color theme="1"/>
      </top>
      <bottom style="thin">
        <color theme="1"/>
      </bottom>
      <diagonal/>
    </border>
    <border>
      <left style="thin">
        <color theme="1"/>
      </left>
      <right/>
      <top style="dashed">
        <color theme="1" tint="0.499984740745262"/>
      </top>
      <bottom style="dashed">
        <color theme="1" tint="0.499984740745262"/>
      </bottom>
      <diagonal/>
    </border>
    <border>
      <left/>
      <right/>
      <top style="double">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thin">
        <color theme="1"/>
      </top>
      <bottom style="thin">
        <color theme="1"/>
      </bottom>
      <diagonal/>
    </border>
    <border>
      <left/>
      <right style="thin">
        <color indexed="64"/>
      </right>
      <top style="thin">
        <color theme="1"/>
      </top>
      <bottom style="thin">
        <color indexed="64"/>
      </bottom>
      <diagonal/>
    </border>
    <border>
      <left style="dashed">
        <color theme="1" tint="0.499984740745262"/>
      </left>
      <right/>
      <top style="thin">
        <color indexed="64"/>
      </top>
      <bottom style="dashed">
        <color theme="1" tint="0.499984740745262"/>
      </bottom>
      <diagonal/>
    </border>
    <border>
      <left style="thin">
        <color indexed="64"/>
      </left>
      <right style="thin">
        <color indexed="64"/>
      </right>
      <top style="dashed">
        <color theme="1" tint="0.249977111117893"/>
      </top>
      <bottom style="dashed">
        <color theme="1" tint="0.249977111117893"/>
      </bottom>
      <diagonal/>
    </border>
    <border>
      <left style="thin">
        <color indexed="64"/>
      </left>
      <right/>
      <top style="dashed">
        <color theme="1" tint="0.249977111117893"/>
      </top>
      <bottom style="dashed">
        <color theme="1" tint="0.249977111117893"/>
      </bottom>
      <diagonal/>
    </border>
    <border>
      <left/>
      <right style="thin">
        <color indexed="64"/>
      </right>
      <top style="dashed">
        <color theme="1" tint="0.249977111117893"/>
      </top>
      <bottom style="dashed">
        <color theme="1" tint="0.249977111117893"/>
      </bottom>
      <diagonal/>
    </border>
    <border>
      <left style="thin">
        <color theme="1"/>
      </left>
      <right style="thin">
        <color indexed="64"/>
      </right>
      <top style="dashed">
        <color theme="1" tint="0.249977111117893"/>
      </top>
      <bottom style="dashed">
        <color theme="1" tint="0.249977111117893"/>
      </bottom>
      <diagonal/>
    </border>
    <border>
      <left/>
      <right/>
      <top style="dashed">
        <color theme="1" tint="0.249977111117893"/>
      </top>
      <bottom style="dashed">
        <color theme="1" tint="0.249977111117893"/>
      </bottom>
      <diagonal/>
    </border>
    <border>
      <left/>
      <right style="thin">
        <color indexed="64"/>
      </right>
      <top/>
      <bottom style="dashed">
        <color theme="1" tint="0.249977111117893"/>
      </bottom>
      <diagonal/>
    </border>
    <border>
      <left/>
      <right/>
      <top style="thin">
        <color theme="1"/>
      </top>
      <bottom style="dashed">
        <color theme="1" tint="0.249977111117893"/>
      </bottom>
      <diagonal/>
    </border>
    <border>
      <left/>
      <right style="thin">
        <color indexed="64"/>
      </right>
      <top style="thin">
        <color theme="1"/>
      </top>
      <bottom style="dashed">
        <color theme="1" tint="0.249977111117893"/>
      </bottom>
      <diagonal/>
    </border>
    <border>
      <left style="thin">
        <color indexed="64"/>
      </left>
      <right style="thin">
        <color indexed="64"/>
      </right>
      <top style="thin">
        <color theme="1"/>
      </top>
      <bottom style="dashed">
        <color theme="1" tint="0.249977111117893"/>
      </bottom>
      <diagonal/>
    </border>
    <border>
      <left style="thin">
        <color indexed="64"/>
      </left>
      <right style="thin">
        <color theme="1"/>
      </right>
      <top style="thin">
        <color theme="1"/>
      </top>
      <bottom style="dashed">
        <color theme="1" tint="0.249977111117893"/>
      </bottom>
      <diagonal/>
    </border>
    <border>
      <left style="thin">
        <color indexed="64"/>
      </left>
      <right style="thin">
        <color theme="1"/>
      </right>
      <top style="dashed">
        <color theme="1" tint="0.249977111117893"/>
      </top>
      <bottom style="dashed">
        <color theme="1" tint="0.249977111117893"/>
      </bottom>
      <diagonal/>
    </border>
    <border>
      <left/>
      <right style="thin">
        <color theme="1"/>
      </right>
      <top style="thin">
        <color theme="1"/>
      </top>
      <bottom style="dashed">
        <color theme="1" tint="0.249977111117893"/>
      </bottom>
      <diagonal/>
    </border>
    <border>
      <left/>
      <right style="thin">
        <color theme="1"/>
      </right>
      <top style="dashed">
        <color theme="1" tint="0.249977111117893"/>
      </top>
      <bottom style="dashed">
        <color theme="1" tint="0.249977111117893"/>
      </bottom>
      <diagonal/>
    </border>
    <border>
      <left style="thin">
        <color indexed="64"/>
      </left>
      <right style="thin">
        <color theme="1"/>
      </right>
      <top/>
      <bottom style="dashed">
        <color theme="1" tint="0.249977111117893"/>
      </bottom>
      <diagonal/>
    </border>
    <border>
      <left/>
      <right/>
      <top style="dashed">
        <color theme="1" tint="0.249977111117893"/>
      </top>
      <bottom style="thin">
        <color theme="1"/>
      </bottom>
      <diagonal/>
    </border>
    <border>
      <left/>
      <right style="thin">
        <color theme="1"/>
      </right>
      <top style="dashed">
        <color theme="1" tint="0.249977111117893"/>
      </top>
      <bottom style="thin">
        <color theme="1"/>
      </bottom>
      <diagonal/>
    </border>
    <border>
      <left/>
      <right style="thin">
        <color indexed="64"/>
      </right>
      <top style="dashed">
        <color theme="1" tint="0.249977111117893"/>
      </top>
      <bottom style="thin">
        <color theme="1"/>
      </bottom>
      <diagonal/>
    </border>
    <border>
      <left style="thin">
        <color indexed="64"/>
      </left>
      <right style="thin">
        <color theme="1"/>
      </right>
      <top style="dashed">
        <color theme="1" tint="0.249977111117893"/>
      </top>
      <bottom style="thin">
        <color theme="1"/>
      </bottom>
      <diagonal/>
    </border>
    <border>
      <left style="thin">
        <color indexed="64"/>
      </left>
      <right/>
      <top style="thin">
        <color theme="1"/>
      </top>
      <bottom style="dashed">
        <color theme="1" tint="0.249977111117893"/>
      </bottom>
      <diagonal/>
    </border>
    <border>
      <left style="thin">
        <color indexed="64"/>
      </left>
      <right/>
      <top style="dashed">
        <color theme="1" tint="0.249977111117893"/>
      </top>
      <bottom style="thin">
        <color theme="1"/>
      </bottom>
      <diagonal/>
    </border>
    <border>
      <left style="thin">
        <color indexed="64"/>
      </left>
      <right/>
      <top style="dashed">
        <color theme="1" tint="0.249977111117893"/>
      </top>
      <bottom style="thin">
        <color indexed="64"/>
      </bottom>
      <diagonal/>
    </border>
    <border>
      <left/>
      <right style="thin">
        <color indexed="64"/>
      </right>
      <top style="dashed">
        <color theme="1" tint="0.249977111117893"/>
      </top>
      <bottom style="thin">
        <color indexed="64"/>
      </bottom>
      <diagonal/>
    </border>
    <border>
      <left style="thin">
        <color theme="1"/>
      </left>
      <right/>
      <top/>
      <bottom style="thin">
        <color theme="1" tint="0.499984740745262"/>
      </bottom>
      <diagonal/>
    </border>
    <border>
      <left style="dashed">
        <color theme="1" tint="0.499984740745262"/>
      </left>
      <right style="thin">
        <color indexed="64"/>
      </right>
      <top style="dashed">
        <color theme="1" tint="0.499984740745262"/>
      </top>
      <bottom style="thin">
        <color indexed="64"/>
      </bottom>
      <diagonal/>
    </border>
    <border>
      <left style="dashed">
        <color theme="1" tint="0.499984740745262"/>
      </left>
      <right style="thin">
        <color indexed="64"/>
      </right>
      <top style="thin">
        <color indexed="64"/>
      </top>
      <bottom style="thin">
        <color indexed="64"/>
      </bottom>
      <diagonal/>
    </border>
    <border>
      <left style="dashed">
        <color theme="1" tint="0.499984740745262"/>
      </left>
      <right style="thin">
        <color indexed="64"/>
      </right>
      <top style="thin">
        <color indexed="64"/>
      </top>
      <bottom style="hair">
        <color indexed="64"/>
      </bottom>
      <diagonal/>
    </border>
    <border>
      <left style="dashed">
        <color theme="1" tint="0.499984740745262"/>
      </left>
      <right style="thin">
        <color indexed="64"/>
      </right>
      <top style="hair">
        <color indexed="64"/>
      </top>
      <bottom style="hair">
        <color indexed="64"/>
      </bottom>
      <diagonal/>
    </border>
    <border>
      <left style="dashed">
        <color theme="1" tint="0.499984740745262"/>
      </left>
      <right style="thin">
        <color indexed="64"/>
      </right>
      <top style="hair">
        <color indexed="64"/>
      </top>
      <bottom style="thin">
        <color indexed="64"/>
      </bottom>
      <diagonal/>
    </border>
    <border>
      <left style="dashed">
        <color theme="1" tint="0.499984740745262"/>
      </left>
      <right style="thin">
        <color indexed="64"/>
      </right>
      <top style="thin">
        <color indexed="64"/>
      </top>
      <bottom style="dashed">
        <color theme="1" tint="0.499984740745262"/>
      </bottom>
      <diagonal/>
    </border>
    <border>
      <left style="dotted">
        <color theme="0" tint="-0.34998626667073579"/>
      </left>
      <right/>
      <top style="thin">
        <color indexed="64"/>
      </top>
      <bottom style="thin">
        <color indexed="64"/>
      </bottom>
      <diagonal/>
    </border>
    <border>
      <left/>
      <right style="dotted">
        <color theme="0" tint="-0.34998626667073579"/>
      </right>
      <top style="dotted">
        <color theme="1" tint="0.499984740745262"/>
      </top>
      <bottom style="dotted">
        <color theme="1" tint="0.499984740745262"/>
      </bottom>
      <diagonal/>
    </border>
    <border>
      <left/>
      <right style="dotted">
        <color theme="0" tint="-0.34998626667073579"/>
      </right>
      <top/>
      <bottom style="thin">
        <color indexed="64"/>
      </bottom>
      <diagonal/>
    </border>
    <border>
      <left/>
      <right style="dotted">
        <color theme="0" tint="-0.34998626667073579"/>
      </right>
      <top style="thin">
        <color indexed="64"/>
      </top>
      <bottom/>
      <diagonal/>
    </border>
    <border>
      <left/>
      <right/>
      <top style="dotted">
        <color theme="0" tint="-0.34998626667073579"/>
      </top>
      <bottom style="dotted">
        <color theme="1" tint="0.499984740745262"/>
      </bottom>
      <diagonal/>
    </border>
    <border>
      <left/>
      <right/>
      <top style="thin">
        <color indexed="64"/>
      </top>
      <bottom style="dotted">
        <color theme="0" tint="-0.34998626667073579"/>
      </bottom>
      <diagonal/>
    </border>
    <border>
      <left/>
      <right style="thin">
        <color theme="1"/>
      </right>
      <top style="thin">
        <color indexed="64"/>
      </top>
      <bottom style="dotted">
        <color theme="0" tint="-0.34998626667073579"/>
      </bottom>
      <diagonal/>
    </border>
    <border>
      <left style="thin">
        <color indexed="64"/>
      </left>
      <right/>
      <top style="thin">
        <color indexed="64"/>
      </top>
      <bottom style="dotted">
        <color theme="0" tint="-0.34998626667073579"/>
      </bottom>
      <diagonal/>
    </border>
    <border>
      <left/>
      <right style="dotted">
        <color theme="0" tint="-0.34998626667073579"/>
      </right>
      <top style="thin">
        <color indexed="64"/>
      </top>
      <bottom style="dotted">
        <color theme="0" tint="-0.34998626667073579"/>
      </bottom>
      <diagonal/>
    </border>
    <border>
      <left/>
      <right style="thin">
        <color indexed="64"/>
      </right>
      <top style="thin">
        <color indexed="64"/>
      </top>
      <bottom style="dotted">
        <color theme="0" tint="-0.34998626667073579"/>
      </bottom>
      <diagonal/>
    </border>
    <border>
      <left/>
      <right style="dotted">
        <color theme="0" tint="-0.34998626667073579"/>
      </right>
      <top style="dotted">
        <color theme="1" tint="0.499984740745262"/>
      </top>
      <bottom style="thin">
        <color indexed="64"/>
      </bottom>
      <diagonal/>
    </border>
    <border>
      <left/>
      <right style="dotted">
        <color theme="0" tint="-0.34998626667073579"/>
      </right>
      <top/>
      <bottom style="dotted">
        <color theme="1" tint="0.499984740745262"/>
      </bottom>
      <diagonal/>
    </border>
    <border>
      <left/>
      <right/>
      <top style="dotted">
        <color theme="0" tint="-0.34998626667073579"/>
      </top>
      <bottom style="dotted">
        <color theme="0" tint="-0.34998626667073579"/>
      </bottom>
      <diagonal/>
    </border>
    <border>
      <left style="thin">
        <color indexed="64"/>
      </left>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right style="thin">
        <color indexed="64"/>
      </right>
      <top style="dotted">
        <color theme="0" tint="-0.34998626667073579"/>
      </top>
      <bottom style="dotted">
        <color theme="0" tint="-0.34998626667073579"/>
      </bottom>
      <diagonal/>
    </border>
    <border>
      <left/>
      <right style="dotted">
        <color theme="0" tint="-0.34998626667073579"/>
      </right>
      <top/>
      <bottom/>
      <diagonal/>
    </border>
    <border>
      <left style="thin">
        <color indexed="64"/>
      </left>
      <right/>
      <top style="dotted">
        <color theme="0" tint="-0.34998626667073579"/>
      </top>
      <bottom style="thin">
        <color indexed="64"/>
      </bottom>
      <diagonal/>
    </border>
    <border>
      <left/>
      <right/>
      <top style="dotted">
        <color theme="0" tint="-0.34998626667073579"/>
      </top>
      <bottom style="thin">
        <color indexed="64"/>
      </bottom>
      <diagonal/>
    </border>
    <border>
      <left/>
      <right style="dotted">
        <color theme="0" tint="-0.34998626667073579"/>
      </right>
      <top style="dotted">
        <color theme="0" tint="-0.34998626667073579"/>
      </top>
      <bottom style="thin">
        <color indexed="64"/>
      </bottom>
      <diagonal/>
    </border>
    <border>
      <left/>
      <right style="thin">
        <color theme="1"/>
      </right>
      <top style="dotted">
        <color theme="0" tint="-0.34998626667073579"/>
      </top>
      <bottom style="dotted">
        <color theme="0" tint="-0.34998626667073579"/>
      </bottom>
      <diagonal/>
    </border>
    <border>
      <left style="thin">
        <color theme="1"/>
      </left>
      <right/>
      <top style="dotted">
        <color theme="0" tint="-0.34998626667073579"/>
      </top>
      <bottom/>
      <diagonal/>
    </border>
    <border>
      <left/>
      <right/>
      <top style="dotted">
        <color theme="0" tint="-0.34998626667073579"/>
      </top>
      <bottom/>
      <diagonal/>
    </border>
    <border>
      <left/>
      <right style="dotted">
        <color theme="0" tint="-0.34998626667073579"/>
      </right>
      <top style="dotted">
        <color theme="0" tint="-0.34998626667073579"/>
      </top>
      <bottom/>
      <diagonal/>
    </border>
    <border>
      <left style="dotted">
        <color theme="0" tint="-0.34998626667073579"/>
      </left>
      <right/>
      <top style="dotted">
        <color theme="0" tint="-0.34998626667073579"/>
      </top>
      <bottom style="thin">
        <color indexed="64"/>
      </bottom>
      <diagonal/>
    </border>
    <border>
      <left style="dotted">
        <color theme="0" tint="-0.34998626667073579"/>
      </left>
      <right/>
      <top style="dotted">
        <color theme="0" tint="-0.34998626667073579"/>
      </top>
      <bottom/>
      <diagonal/>
    </border>
    <border>
      <left/>
      <right style="thin">
        <color indexed="64"/>
      </right>
      <top style="dotted">
        <color theme="0" tint="-0.34998626667073579"/>
      </top>
      <bottom/>
      <diagonal/>
    </border>
    <border>
      <left style="dotted">
        <color theme="0" tint="-0.34998626667073579"/>
      </left>
      <right/>
      <top/>
      <bottom style="thin">
        <color indexed="64"/>
      </bottom>
      <diagonal/>
    </border>
    <border>
      <left/>
      <right style="dotted">
        <color theme="0" tint="-0.34998626667073579"/>
      </right>
      <top/>
      <bottom style="dotted">
        <color theme="0" tint="-0.34998626667073579"/>
      </bottom>
      <diagonal/>
    </border>
    <border>
      <left style="thin">
        <color indexed="64"/>
      </left>
      <right/>
      <top/>
      <bottom style="dotted">
        <color theme="0" tint="-0.34998626667073579"/>
      </bottom>
      <diagonal/>
    </border>
    <border>
      <left/>
      <right/>
      <top/>
      <bottom style="dotted">
        <color theme="0" tint="-0.34998626667073579"/>
      </bottom>
      <diagonal/>
    </border>
    <border>
      <left style="thin">
        <color theme="1"/>
      </left>
      <right/>
      <top/>
      <bottom style="dotted">
        <color theme="0" tint="-0.34998626667073579"/>
      </bottom>
      <diagonal/>
    </border>
    <border>
      <left/>
      <right style="thin">
        <color indexed="64"/>
      </right>
      <top/>
      <bottom style="dotted">
        <color theme="0" tint="-0.34998626667073579"/>
      </bottom>
      <diagonal/>
    </border>
    <border>
      <left style="dotted">
        <color theme="0" tint="-0.34998626667073579"/>
      </left>
      <right style="thin">
        <color theme="1"/>
      </right>
      <top style="dotted">
        <color theme="0" tint="-0.34998626667073579"/>
      </top>
      <bottom/>
      <diagonal/>
    </border>
    <border>
      <left style="dotted">
        <color theme="0" tint="-0.34998626667073579"/>
      </left>
      <right/>
      <top style="thin">
        <color indexed="64"/>
      </top>
      <bottom/>
      <diagonal/>
    </border>
    <border>
      <left style="dotted">
        <color theme="0" tint="-0.34998626667073579"/>
      </left>
      <right/>
      <top/>
      <bottom style="dotted">
        <color theme="0" tint="-0.34998626667073579"/>
      </bottom>
      <diagonal/>
    </border>
    <border>
      <left style="dotted">
        <color theme="0" tint="-0.34998626667073579"/>
      </left>
      <right/>
      <top style="dotted">
        <color theme="0" tint="-0.34998626667073579"/>
      </top>
      <bottom style="dotted">
        <color theme="0" tint="-0.34998626667073579"/>
      </bottom>
      <diagonal/>
    </border>
    <border>
      <left style="thin">
        <color theme="1"/>
      </left>
      <right/>
      <top style="dotted">
        <color theme="0" tint="-0.34998626667073579"/>
      </top>
      <bottom style="dotted">
        <color theme="1" tint="0.499984740745262"/>
      </bottom>
      <diagonal/>
    </border>
    <border>
      <left/>
      <right style="thin">
        <color theme="1"/>
      </right>
      <top/>
      <bottom style="dotted">
        <color theme="0" tint="-0.34998626667073579"/>
      </bottom>
      <diagonal/>
    </border>
    <border>
      <left/>
      <right style="dashed">
        <color theme="0" tint="-0.499984740745262"/>
      </right>
      <top style="dashed">
        <color theme="1" tint="0.499984740745262"/>
      </top>
      <bottom style="thin">
        <color theme="1"/>
      </bottom>
      <diagonal/>
    </border>
    <border>
      <left/>
      <right/>
      <top style="dashed">
        <color theme="1" tint="0.499984740745262"/>
      </top>
      <bottom style="thin">
        <color theme="1"/>
      </bottom>
      <diagonal/>
    </border>
    <border>
      <left style="dashed">
        <color theme="0" tint="-0.499984740745262"/>
      </left>
      <right style="dashed">
        <color theme="0" tint="-0.499984740745262"/>
      </right>
      <top style="dashed">
        <color theme="1" tint="0.499984740745262"/>
      </top>
      <bottom style="thin">
        <color theme="1"/>
      </bottom>
      <diagonal/>
    </border>
    <border>
      <left style="thin">
        <color indexed="64"/>
      </left>
      <right/>
      <top style="dashed">
        <color theme="1" tint="0.499984740745262"/>
      </top>
      <bottom style="thin">
        <color theme="1"/>
      </bottom>
      <diagonal/>
    </border>
    <border>
      <left/>
      <right/>
      <top style="double">
        <color theme="1"/>
      </top>
      <bottom style="double">
        <color theme="1"/>
      </bottom>
      <diagonal/>
    </border>
    <border>
      <left/>
      <right/>
      <top style="double">
        <color theme="1"/>
      </top>
      <bottom style="thin">
        <color theme="1" tint="0.499984740745262"/>
      </bottom>
      <diagonal/>
    </border>
    <border>
      <left/>
      <right style="dashed">
        <color theme="0" tint="-0.499984740745262"/>
      </right>
      <top style="dashed">
        <color theme="1" tint="0.499984740745262"/>
      </top>
      <bottom/>
      <diagonal/>
    </border>
    <border>
      <left/>
      <right style="dashed">
        <color theme="0" tint="-0.499984740745262"/>
      </right>
      <top/>
      <bottom style="dashed">
        <color theme="1" tint="0.499984740745262"/>
      </bottom>
      <diagonal/>
    </border>
    <border>
      <left/>
      <right style="dashed">
        <color theme="0" tint="-0.499984740745262"/>
      </right>
      <top style="thin">
        <color theme="1"/>
      </top>
      <bottom style="dashed">
        <color theme="1" tint="0.499984740745262"/>
      </bottom>
      <diagonal/>
    </border>
    <border>
      <left/>
      <right style="dashed">
        <color theme="0" tint="-0.499984740745262"/>
      </right>
      <top/>
      <bottom style="double">
        <color theme="1"/>
      </bottom>
      <diagonal/>
    </border>
    <border>
      <left style="thin">
        <color theme="1"/>
      </left>
      <right style="dotted">
        <color theme="0" tint="-0.24994659260841701"/>
      </right>
      <top style="thin">
        <color theme="1"/>
      </top>
      <bottom style="dashed">
        <color theme="1" tint="0.499984740745262"/>
      </bottom>
      <diagonal/>
    </border>
    <border>
      <left style="dotted">
        <color theme="0" tint="-0.24994659260841701"/>
      </left>
      <right style="dotted">
        <color theme="0" tint="-0.24994659260841701"/>
      </right>
      <top style="thin">
        <color theme="1"/>
      </top>
      <bottom style="dashed">
        <color theme="1" tint="0.499984740745262"/>
      </bottom>
      <diagonal/>
    </border>
    <border>
      <left style="dotted">
        <color theme="0" tint="-0.24994659260841701"/>
      </left>
      <right style="thin">
        <color theme="1"/>
      </right>
      <top style="thin">
        <color theme="1"/>
      </top>
      <bottom style="dashed">
        <color theme="1" tint="0.499984740745262"/>
      </bottom>
      <diagonal/>
    </border>
    <border>
      <left style="thin">
        <color theme="1"/>
      </left>
      <right style="dotted">
        <color theme="0" tint="-0.24994659260841701"/>
      </right>
      <top/>
      <bottom style="double">
        <color theme="1"/>
      </bottom>
      <diagonal/>
    </border>
    <border>
      <left style="dotted">
        <color theme="0" tint="-0.24994659260841701"/>
      </left>
      <right style="dotted">
        <color theme="0" tint="-0.24994659260841701"/>
      </right>
      <top/>
      <bottom style="double">
        <color theme="1"/>
      </bottom>
      <diagonal/>
    </border>
    <border>
      <left style="dotted">
        <color theme="0" tint="-0.24994659260841701"/>
      </left>
      <right style="thin">
        <color theme="1"/>
      </right>
      <top/>
      <bottom style="double">
        <color theme="1"/>
      </bottom>
      <diagonal/>
    </border>
    <border>
      <left style="thin">
        <color theme="1"/>
      </left>
      <right style="dotted">
        <color theme="1"/>
      </right>
      <top style="thin">
        <color theme="1"/>
      </top>
      <bottom style="dashed">
        <color theme="1" tint="0.499984740745262"/>
      </bottom>
      <diagonal/>
    </border>
    <border>
      <left style="dotted">
        <color theme="1"/>
      </left>
      <right style="dotted">
        <color theme="1"/>
      </right>
      <top style="thin">
        <color theme="1"/>
      </top>
      <bottom style="dashed">
        <color theme="1" tint="0.499984740745262"/>
      </bottom>
      <diagonal/>
    </border>
    <border>
      <left style="dotted">
        <color theme="1"/>
      </left>
      <right style="thin">
        <color theme="1"/>
      </right>
      <top style="thin">
        <color theme="1"/>
      </top>
      <bottom style="dashed">
        <color theme="1" tint="0.499984740745262"/>
      </bottom>
      <diagonal/>
    </border>
    <border>
      <left style="dotted">
        <color theme="1"/>
      </left>
      <right style="dotted">
        <color theme="1"/>
      </right>
      <top/>
      <bottom style="double">
        <color theme="1"/>
      </bottom>
      <diagonal/>
    </border>
    <border>
      <left style="dotted">
        <color theme="1"/>
      </left>
      <right style="thin">
        <color theme="1"/>
      </right>
      <top/>
      <bottom style="double">
        <color theme="1"/>
      </bottom>
      <diagonal/>
    </border>
    <border>
      <left/>
      <right style="dashed">
        <color theme="0" tint="-0.249977111117893"/>
      </right>
      <top style="thin">
        <color theme="1"/>
      </top>
      <bottom style="dashed">
        <color theme="1" tint="0.499984740745262"/>
      </bottom>
      <diagonal/>
    </border>
    <border>
      <left/>
      <right style="dashed">
        <color theme="0" tint="-0.249977111117893"/>
      </right>
      <top/>
      <bottom style="double">
        <color theme="1"/>
      </bottom>
      <diagonal/>
    </border>
    <border>
      <left style="thin">
        <color theme="1"/>
      </left>
      <right/>
      <top style="dashed">
        <color theme="1" tint="0.499984740745262"/>
      </top>
      <bottom style="double">
        <color theme="1"/>
      </bottom>
      <diagonal/>
    </border>
    <border>
      <left/>
      <right/>
      <top style="dashed">
        <color theme="1" tint="0.499984740745262"/>
      </top>
      <bottom style="double">
        <color theme="1"/>
      </bottom>
      <diagonal/>
    </border>
    <border>
      <left/>
      <right style="dotted">
        <color theme="1"/>
      </right>
      <top style="dashed">
        <color theme="1" tint="0.499984740745262"/>
      </top>
      <bottom style="double">
        <color theme="1"/>
      </bottom>
      <diagonal/>
    </border>
    <border>
      <left style="thin">
        <color indexed="64"/>
      </left>
      <right style="thin">
        <color indexed="64"/>
      </right>
      <top/>
      <bottom style="dashed">
        <color theme="1" tint="0.249977111117893"/>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right/>
      <top style="thin">
        <color theme="1"/>
      </top>
      <bottom style="hair">
        <color indexed="64"/>
      </bottom>
      <diagonal/>
    </border>
    <border>
      <left/>
      <right style="thin">
        <color indexed="64"/>
      </right>
      <top style="thin">
        <color theme="1"/>
      </top>
      <bottom style="hair">
        <color indexed="64"/>
      </bottom>
      <diagonal/>
    </border>
    <border>
      <left style="thin">
        <color theme="1"/>
      </left>
      <right style="thin">
        <color theme="1"/>
      </right>
      <top/>
      <bottom style="thin">
        <color indexed="64"/>
      </bottom>
      <diagonal/>
    </border>
    <border>
      <left style="thin">
        <color indexed="64"/>
      </left>
      <right style="thin">
        <color theme="1"/>
      </right>
      <top style="thin">
        <color theme="1"/>
      </top>
      <bottom/>
      <diagonal/>
    </border>
    <border>
      <left style="thin">
        <color theme="1"/>
      </left>
      <right style="thin">
        <color indexed="64"/>
      </right>
      <top style="thin">
        <color theme="1"/>
      </top>
      <bottom style="thin">
        <color theme="1"/>
      </bottom>
      <diagonal/>
    </border>
    <border>
      <left style="thin">
        <color indexed="64"/>
      </left>
      <right style="thin">
        <color indexed="64"/>
      </right>
      <top style="dotted">
        <color theme="1" tint="0.499984740745262"/>
      </top>
      <bottom style="dotted">
        <color theme="1" tint="0.499984740745262"/>
      </bottom>
      <diagonal/>
    </border>
    <border>
      <left style="thin">
        <color indexed="64"/>
      </left>
      <right/>
      <top style="dotted">
        <color theme="1" tint="0.499984740745262"/>
      </top>
      <bottom style="dotted">
        <color theme="1" tint="0.499984740745262"/>
      </bottom>
      <diagonal/>
    </border>
    <border>
      <left/>
      <right style="thin">
        <color indexed="64"/>
      </right>
      <top style="dotted">
        <color theme="1" tint="0.499984740745262"/>
      </top>
      <bottom style="dotted">
        <color theme="1" tint="0.499984740745262"/>
      </bottom>
      <diagonal/>
    </border>
    <border>
      <left style="thin">
        <color indexed="64"/>
      </left>
      <right style="thin">
        <color indexed="64"/>
      </right>
      <top style="thin">
        <color theme="1"/>
      </top>
      <bottom/>
      <diagonal/>
    </border>
    <border>
      <left style="thin">
        <color theme="1"/>
      </left>
      <right style="thin">
        <color indexed="64"/>
      </right>
      <top style="dotted">
        <color theme="1" tint="0.499984740745262"/>
      </top>
      <bottom style="dotted">
        <color theme="1" tint="0.499984740745262"/>
      </bottom>
      <diagonal/>
    </border>
    <border>
      <left style="thin">
        <color indexed="64"/>
      </left>
      <right/>
      <top/>
      <bottom style="dashed">
        <color theme="1" tint="0.249977111117893"/>
      </bottom>
      <diagonal/>
    </border>
    <border>
      <left/>
      <right style="thin">
        <color theme="1"/>
      </right>
      <top style="dotted">
        <color theme="1" tint="0.499984740745262"/>
      </top>
      <bottom style="dotted">
        <color theme="1" tint="0.499984740745262"/>
      </bottom>
      <diagonal/>
    </border>
    <border>
      <left style="thin">
        <color indexed="64"/>
      </left>
      <right style="thin">
        <color indexed="64"/>
      </right>
      <top/>
      <bottom style="dotted">
        <color theme="1" tint="0.499984740745262"/>
      </bottom>
      <diagonal/>
    </border>
    <border>
      <left style="thin">
        <color indexed="64"/>
      </left>
      <right style="thin">
        <color indexed="64"/>
      </right>
      <top style="dotted">
        <color theme="1" tint="0.499984740745262"/>
      </top>
      <bottom style="dashed">
        <color theme="1" tint="0.499984740745262"/>
      </bottom>
      <diagonal/>
    </border>
    <border>
      <left style="thin">
        <color indexed="64"/>
      </left>
      <right/>
      <top style="dotted">
        <color theme="1" tint="0.499984740745262"/>
      </top>
      <bottom style="dashed">
        <color theme="1" tint="0.499984740745262"/>
      </bottom>
      <diagonal/>
    </border>
    <border>
      <left/>
      <right/>
      <top style="dotted">
        <color theme="1" tint="0.499984740745262"/>
      </top>
      <bottom style="dashed">
        <color theme="1" tint="0.499984740745262"/>
      </bottom>
      <diagonal/>
    </border>
    <border>
      <left/>
      <right style="thin">
        <color theme="1"/>
      </right>
      <top style="dotted">
        <color theme="1" tint="0.499984740745262"/>
      </top>
      <bottom style="dashed">
        <color theme="1" tint="0.499984740745262"/>
      </bottom>
      <diagonal/>
    </border>
    <border>
      <left/>
      <right style="thin">
        <color indexed="64"/>
      </right>
      <top style="dotted">
        <color theme="1" tint="0.499984740745262"/>
      </top>
      <bottom style="dashed">
        <color theme="1" tint="0.499984740745262"/>
      </bottom>
      <diagonal/>
    </border>
    <border>
      <left style="thin">
        <color indexed="64"/>
      </left>
      <right/>
      <top style="double">
        <color theme="1"/>
      </top>
      <bottom/>
      <diagonal/>
    </border>
    <border>
      <left/>
      <right/>
      <top style="double">
        <color theme="1"/>
      </top>
      <bottom/>
      <diagonal/>
    </border>
    <border>
      <left/>
      <right style="thin">
        <color indexed="64"/>
      </right>
      <top style="double">
        <color theme="1"/>
      </top>
      <bottom/>
      <diagonal/>
    </border>
    <border>
      <left/>
      <right/>
      <top/>
      <bottom style="thin">
        <color auto="1"/>
      </bottom>
      <diagonal/>
    </border>
    <border>
      <left style="thin">
        <color theme="1"/>
      </left>
      <right style="thin">
        <color theme="1"/>
      </right>
      <top style="thin">
        <color indexed="64"/>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indexed="64"/>
      </left>
      <right style="thin">
        <color theme="1"/>
      </right>
      <top/>
      <bottom/>
      <diagonal/>
    </border>
    <border>
      <left/>
      <right style="hair">
        <color indexed="64"/>
      </right>
      <top/>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ashed">
        <color theme="0" tint="-0.499984740745262"/>
      </left>
      <right style="thin">
        <color indexed="64"/>
      </right>
      <top style="thin">
        <color indexed="64"/>
      </top>
      <bottom style="thin">
        <color indexed="64"/>
      </bottom>
      <diagonal/>
    </border>
    <border>
      <left/>
      <right/>
      <top style="dotted">
        <color theme="1" tint="0.499984740745262"/>
      </top>
      <bottom/>
      <diagonal/>
    </border>
    <border>
      <left/>
      <right style="dotted">
        <color theme="0" tint="-0.34998626667073579"/>
      </right>
      <top style="dotted">
        <color theme="1" tint="0.499984740745262"/>
      </top>
      <bottom/>
      <diagonal/>
    </border>
    <border>
      <left style="dotted">
        <color theme="0" tint="-0.34998626667073579"/>
      </left>
      <right/>
      <top style="dotted">
        <color theme="1" tint="0.499984740745262"/>
      </top>
      <bottom/>
      <diagonal/>
    </border>
    <border>
      <left/>
      <right style="thin">
        <color indexed="64"/>
      </right>
      <top style="dotted">
        <color theme="1" tint="0.499984740745262"/>
      </top>
      <bottom/>
      <diagonal/>
    </border>
    <border>
      <left style="thin">
        <color indexed="64"/>
      </left>
      <right/>
      <top style="dotted">
        <color theme="0" tint="-0.34998626667073579"/>
      </top>
      <bottom/>
      <diagonal/>
    </border>
    <border>
      <left style="thin">
        <color theme="1"/>
      </left>
      <right/>
      <top style="dashed">
        <color theme="0" tint="-0.499984740745262"/>
      </top>
      <bottom style="thin">
        <color indexed="64"/>
      </bottom>
      <diagonal/>
    </border>
    <border>
      <left/>
      <right/>
      <top style="dashed">
        <color theme="0" tint="-0.499984740745262"/>
      </top>
      <bottom style="thin">
        <color indexed="64"/>
      </bottom>
      <diagonal/>
    </border>
    <border>
      <left style="dotted">
        <color theme="0" tint="-0.34998626667073579"/>
      </left>
      <right/>
      <top style="dashed">
        <color theme="0" tint="-0.499984740745262"/>
      </top>
      <bottom style="thin">
        <color indexed="64"/>
      </bottom>
      <diagonal/>
    </border>
    <border>
      <left/>
      <right style="thin">
        <color indexed="64"/>
      </right>
      <top style="dashed">
        <color theme="0" tint="-0.499984740745262"/>
      </top>
      <bottom style="thin">
        <color indexed="64"/>
      </bottom>
      <diagonal/>
    </border>
    <border>
      <left style="thin">
        <color indexed="64"/>
      </left>
      <right/>
      <top style="dashed">
        <color theme="0" tint="-0.499984740745262"/>
      </top>
      <bottom style="thin">
        <color indexed="64"/>
      </bottom>
      <diagonal/>
    </border>
    <border>
      <left/>
      <right style="dotted">
        <color theme="0" tint="-0.34998626667073579"/>
      </right>
      <top style="dashed">
        <color theme="0" tint="-0.499984740745262"/>
      </top>
      <bottom style="thin">
        <color indexed="64"/>
      </bottom>
      <diagonal/>
    </border>
    <border>
      <left style="thin">
        <color theme="1"/>
      </left>
      <right/>
      <top style="dotted">
        <color theme="1" tint="0.499984740745262"/>
      </top>
      <bottom/>
      <diagonal/>
    </border>
    <border>
      <left style="thin">
        <color indexed="64"/>
      </left>
      <right/>
      <top style="dashed">
        <color theme="0" tint="-0.14996795556505021"/>
      </top>
      <bottom style="dashed">
        <color theme="0" tint="-0.14996795556505021"/>
      </bottom>
      <diagonal/>
    </border>
    <border>
      <left/>
      <right/>
      <top style="dashed">
        <color theme="0" tint="-0.14996795556505021"/>
      </top>
      <bottom style="dashed">
        <color theme="0" tint="-0.14996795556505021"/>
      </bottom>
      <diagonal/>
    </border>
    <border>
      <left/>
      <right style="thin">
        <color indexed="64"/>
      </right>
      <top style="dashed">
        <color theme="0" tint="-0.14996795556505021"/>
      </top>
      <bottom style="dashed">
        <color theme="0" tint="-0.14996795556505021"/>
      </bottom>
      <diagonal/>
    </border>
    <border>
      <left style="thin">
        <color indexed="64"/>
      </left>
      <right style="thin">
        <color indexed="64"/>
      </right>
      <top style="dashed">
        <color theme="0" tint="-0.14996795556505021"/>
      </top>
      <bottom style="dashed">
        <color theme="0" tint="-0.14996795556505021"/>
      </bottom>
      <diagonal/>
    </border>
    <border>
      <left style="dotted">
        <color theme="0" tint="-0.34998626667073579"/>
      </left>
      <right style="thin">
        <color indexed="64"/>
      </right>
      <top style="thin">
        <color indexed="64"/>
      </top>
      <bottom/>
      <diagonal/>
    </border>
    <border>
      <left style="thin">
        <color indexed="64"/>
      </left>
      <right/>
      <top style="dotted">
        <color theme="0" tint="-0.499984740745262"/>
      </top>
      <bottom style="dotted">
        <color theme="0" tint="-0.499984740745262"/>
      </bottom>
      <diagonal/>
    </border>
    <border>
      <left/>
      <right style="dotted">
        <color theme="0" tint="-0.34998626667073579"/>
      </right>
      <top style="dotted">
        <color theme="0" tint="-0.499984740745262"/>
      </top>
      <bottom style="dotted">
        <color theme="0" tint="-0.499984740745262"/>
      </bottom>
      <diagonal/>
    </border>
    <border>
      <left/>
      <right style="thin">
        <color indexed="64"/>
      </right>
      <top style="dotted">
        <color theme="0" tint="-0.499984740745262"/>
      </top>
      <bottom style="dotted">
        <color theme="0" tint="-0.499984740745262"/>
      </bottom>
      <diagonal/>
    </border>
    <border>
      <left/>
      <right style="dashed">
        <color theme="0" tint="-0.499984740745262"/>
      </right>
      <top style="thin">
        <color indexed="64"/>
      </top>
      <bottom style="thin">
        <color indexed="64"/>
      </bottom>
      <diagonal/>
    </border>
    <border>
      <left style="thin">
        <color indexed="64"/>
      </left>
      <right/>
      <top style="dotted">
        <color theme="0" tint="-0.499984740745262"/>
      </top>
      <bottom/>
      <diagonal/>
    </border>
    <border>
      <left/>
      <right/>
      <top style="dotted">
        <color theme="0" tint="-0.499984740745262"/>
      </top>
      <bottom/>
      <diagonal/>
    </border>
    <border>
      <left/>
      <right/>
      <top style="dotted">
        <color theme="0" tint="-0.499984740745262"/>
      </top>
      <bottom style="dashed">
        <color theme="0" tint="-0.34998626667073579"/>
      </bottom>
      <diagonal/>
    </border>
    <border>
      <left/>
      <right style="dotted">
        <color theme="0" tint="-0.34998626667073579"/>
      </right>
      <top style="dotted">
        <color theme="0" tint="-0.499984740745262"/>
      </top>
      <bottom style="dashed">
        <color theme="0" tint="-0.34998626667073579"/>
      </bottom>
      <diagonal/>
    </border>
    <border>
      <left style="thin">
        <color indexed="64"/>
      </left>
      <right/>
      <top/>
      <bottom style="dotted">
        <color theme="0" tint="-0.499984740745262"/>
      </bottom>
      <diagonal/>
    </border>
    <border>
      <left/>
      <right/>
      <top/>
      <bottom style="dotted">
        <color theme="0" tint="-0.499984740745262"/>
      </bottom>
      <diagonal/>
    </border>
    <border>
      <left/>
      <right/>
      <top style="dashed">
        <color theme="0" tint="-0.34998626667073579"/>
      </top>
      <bottom style="dotted">
        <color theme="0" tint="-0.499984740745262"/>
      </bottom>
      <diagonal/>
    </border>
    <border>
      <left/>
      <right style="dotted">
        <color theme="0" tint="-0.34998626667073579"/>
      </right>
      <top style="dashed">
        <color theme="0" tint="-0.34998626667073579"/>
      </top>
      <bottom style="dotted">
        <color theme="0" tint="-0.499984740745262"/>
      </bottom>
      <diagonal/>
    </border>
    <border>
      <left style="thin">
        <color indexed="64"/>
      </left>
      <right/>
      <top style="dashed">
        <color theme="0" tint="-0.14996795556505021"/>
      </top>
      <bottom/>
      <diagonal/>
    </border>
    <border>
      <left/>
      <right/>
      <top style="dashed">
        <color theme="0" tint="-0.14996795556505021"/>
      </top>
      <bottom/>
      <diagonal/>
    </border>
    <border>
      <left style="thin">
        <color indexed="64"/>
      </left>
      <right/>
      <top/>
      <bottom style="dashed">
        <color theme="0" tint="-0.14996795556505021"/>
      </bottom>
      <diagonal/>
    </border>
    <border>
      <left/>
      <right/>
      <top/>
      <bottom style="dashed">
        <color theme="0" tint="-0.14996795556505021"/>
      </bottom>
      <diagonal/>
    </border>
    <border>
      <left style="dotted">
        <color theme="0" tint="-0.34998626667073579"/>
      </left>
      <right/>
      <top/>
      <bottom style="dotted">
        <color theme="0" tint="-0.499984740745262"/>
      </bottom>
      <diagonal/>
    </border>
    <border>
      <left/>
      <right style="thin">
        <color indexed="64"/>
      </right>
      <top/>
      <bottom style="dotted">
        <color theme="0" tint="-0.499984740745262"/>
      </bottom>
      <diagonal/>
    </border>
    <border>
      <left/>
      <right/>
      <top style="thin">
        <color indexed="64"/>
      </top>
      <bottom style="dashed">
        <color theme="0" tint="-0.249977111117893"/>
      </bottom>
      <diagonal/>
    </border>
    <border>
      <left/>
      <right style="dotted">
        <color theme="0" tint="-0.34998626667073579"/>
      </right>
      <top style="thin">
        <color indexed="64"/>
      </top>
      <bottom style="dashed">
        <color theme="0" tint="-0.249977111117893"/>
      </bottom>
      <diagonal/>
    </border>
    <border>
      <left/>
      <right/>
      <top style="thin">
        <color auto="1"/>
      </top>
      <bottom/>
      <diagonal/>
    </border>
    <border>
      <left/>
      <right style="thin">
        <color indexed="64"/>
      </right>
      <top style="thin">
        <color auto="1"/>
      </top>
      <bottom/>
      <diagonal/>
    </border>
    <border>
      <left style="thin">
        <color indexed="64"/>
      </left>
      <right/>
      <top style="thin">
        <color auto="1"/>
      </top>
      <bottom/>
      <diagonal/>
    </border>
    <border>
      <left style="thin">
        <color auto="1"/>
      </left>
      <right/>
      <top style="thin">
        <color indexed="64"/>
      </top>
      <bottom style="dashed">
        <color theme="0" tint="-0.249977111117893"/>
      </bottom>
      <diagonal/>
    </border>
    <border>
      <left style="dotted">
        <color theme="0" tint="-0.34998626667073579"/>
      </left>
      <right style="thin">
        <color auto="1"/>
      </right>
      <top style="dashed">
        <color theme="0" tint="-0.249977111117893"/>
      </top>
      <bottom style="thin">
        <color indexed="64"/>
      </bottom>
      <diagonal/>
    </border>
    <border>
      <left style="dotted">
        <color theme="0" tint="-0.34998626667073579"/>
      </left>
      <right style="thin">
        <color auto="1"/>
      </right>
      <top style="dotted">
        <color theme="0" tint="-0.34998626667073579"/>
      </top>
      <bottom style="dotted">
        <color theme="0" tint="-0.34998626667073579"/>
      </bottom>
      <diagonal/>
    </border>
    <border>
      <left style="dotted">
        <color theme="0" tint="-0.34998626667073579"/>
      </left>
      <right style="thin">
        <color auto="1"/>
      </right>
      <top style="dotted">
        <color theme="0" tint="-0.34998626667073579"/>
      </top>
      <bottom style="thin">
        <color indexed="64"/>
      </bottom>
      <diagonal/>
    </border>
    <border>
      <left style="dotted">
        <color theme="0" tint="-0.34998626667073579"/>
      </left>
      <right style="thin">
        <color auto="1"/>
      </right>
      <top style="thin">
        <color indexed="64"/>
      </top>
      <bottom style="thin">
        <color indexed="64"/>
      </bottom>
      <diagonal/>
    </border>
  </borders>
  <cellStyleXfs count="547">
    <xf numFmtId="0" fontId="0" fillId="0" borderId="0"/>
    <xf numFmtId="0" fontId="1" fillId="0" borderId="0"/>
    <xf numFmtId="9" fontId="1" fillId="0" borderId="0" applyFont="0" applyFill="0" applyBorder="0" applyAlignment="0" applyProtection="0"/>
    <xf numFmtId="169" fontId="1" fillId="0" borderId="0" applyFont="0" applyFill="0" applyBorder="0" applyAlignment="0" applyProtection="0"/>
    <xf numFmtId="170" fontId="17" fillId="0" borderId="0">
      <protection locked="0"/>
    </xf>
    <xf numFmtId="170" fontId="17" fillId="0" borderId="0">
      <protection locked="0"/>
    </xf>
    <xf numFmtId="170" fontId="17" fillId="0" borderId="0">
      <protection locked="0"/>
    </xf>
    <xf numFmtId="171" fontId="1" fillId="0" borderId="0" applyFont="0" applyFill="0" applyBorder="0" applyAlignment="0" applyProtection="0"/>
    <xf numFmtId="170" fontId="17" fillId="0" borderId="0">
      <protection locked="0"/>
    </xf>
    <xf numFmtId="170" fontId="17" fillId="0" borderId="0">
      <protection locked="0"/>
    </xf>
    <xf numFmtId="170" fontId="18" fillId="0" borderId="0">
      <protection locked="0"/>
    </xf>
    <xf numFmtId="170" fontId="17" fillId="0" borderId="0">
      <protection locked="0"/>
    </xf>
    <xf numFmtId="170" fontId="17" fillId="0" borderId="0">
      <protection locked="0"/>
    </xf>
    <xf numFmtId="170" fontId="17" fillId="0" borderId="0">
      <protection locked="0"/>
    </xf>
    <xf numFmtId="170" fontId="18" fillId="0" borderId="0">
      <protection locked="0"/>
    </xf>
    <xf numFmtId="170" fontId="17" fillId="0" borderId="0">
      <protection locked="0"/>
    </xf>
    <xf numFmtId="170" fontId="19" fillId="0" borderId="0">
      <protection locked="0"/>
    </xf>
    <xf numFmtId="170" fontId="19" fillId="0" borderId="0">
      <protection locked="0"/>
    </xf>
    <xf numFmtId="170" fontId="17" fillId="0" borderId="0">
      <protection locked="0"/>
    </xf>
    <xf numFmtId="9" fontId="1" fillId="0" borderId="0" applyFont="0" applyFill="0" applyBorder="0" applyAlignment="0" applyProtection="0"/>
    <xf numFmtId="0" fontId="21" fillId="0" borderId="0"/>
    <xf numFmtId="0" fontId="1" fillId="0" borderId="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4" fillId="5" borderId="0" applyNumberFormat="0" applyBorder="0" applyAlignment="0" applyProtection="0"/>
    <xf numFmtId="0" fontId="25" fillId="17" borderId="21" applyNumberFormat="0" applyAlignment="0" applyProtection="0"/>
    <xf numFmtId="0" fontId="26" fillId="18" borderId="22" applyNumberFormat="0" applyAlignment="0" applyProtection="0"/>
    <xf numFmtId="0" fontId="27" fillId="0" borderId="23" applyNumberFormat="0" applyFill="0" applyAlignment="0" applyProtection="0"/>
    <xf numFmtId="0" fontId="28" fillId="0" borderId="0" applyNumberFormat="0" applyFill="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9" fillId="8" borderId="21" applyNumberFormat="0" applyAlignment="0" applyProtection="0"/>
    <xf numFmtId="171" fontId="1" fillId="0" borderId="0" applyFont="0" applyFill="0" applyBorder="0" applyAlignment="0" applyProtection="0"/>
    <xf numFmtId="0" fontId="30" fillId="4" borderId="0" applyNumberFormat="0" applyBorder="0" applyAlignment="0" applyProtection="0"/>
    <xf numFmtId="0" fontId="31" fillId="23" borderId="0" applyNumberFormat="0" applyBorder="0" applyAlignment="0" applyProtection="0"/>
    <xf numFmtId="0" fontId="1" fillId="24" borderId="24" applyNumberFormat="0" applyFont="0" applyAlignment="0" applyProtection="0"/>
    <xf numFmtId="9" fontId="1" fillId="0" borderId="0" applyFont="0" applyFill="0" applyBorder="0" applyAlignment="0" applyProtection="0"/>
    <xf numFmtId="0" fontId="32" fillId="17" borderId="2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26" applyNumberFormat="0" applyFill="0" applyAlignment="0" applyProtection="0"/>
    <xf numFmtId="0" fontId="37" fillId="0" borderId="27" applyNumberFormat="0" applyFill="0" applyAlignment="0" applyProtection="0"/>
    <xf numFmtId="0" fontId="28" fillId="0" borderId="28" applyNumberFormat="0" applyFill="0" applyAlignment="0" applyProtection="0"/>
    <xf numFmtId="0" fontId="38" fillId="0" borderId="29" applyNumberFormat="0" applyFill="0" applyAlignment="0" applyProtection="0"/>
    <xf numFmtId="171" fontId="1" fillId="0" borderId="0" applyFont="0" applyFill="0" applyBorder="0" applyAlignment="0" applyProtection="0"/>
    <xf numFmtId="0" fontId="1" fillId="24" borderId="24" applyNumberFormat="0" applyFont="0" applyAlignment="0" applyProtection="0"/>
    <xf numFmtId="9" fontId="1" fillId="0" borderId="0" applyFont="0" applyFill="0" applyBorder="0" applyAlignment="0" applyProtection="0"/>
    <xf numFmtId="0" fontId="1" fillId="0" borderId="0"/>
    <xf numFmtId="0" fontId="46" fillId="0" borderId="0"/>
    <xf numFmtId="0" fontId="48" fillId="0" borderId="0"/>
    <xf numFmtId="0" fontId="1" fillId="0" borderId="0"/>
    <xf numFmtId="0" fontId="50" fillId="0" borderId="0"/>
    <xf numFmtId="0" fontId="53" fillId="0" borderId="0"/>
    <xf numFmtId="0" fontId="1" fillId="0" borderId="0"/>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0" fontId="53" fillId="0" borderId="0"/>
    <xf numFmtId="0" fontId="1" fillId="0" borderId="0"/>
    <xf numFmtId="0" fontId="1"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6" fillId="0" borderId="0"/>
    <xf numFmtId="0" fontId="64" fillId="0" borderId="0"/>
    <xf numFmtId="0" fontId="46" fillId="0" borderId="0"/>
    <xf numFmtId="0" fontId="1" fillId="0" borderId="0"/>
    <xf numFmtId="0" fontId="1" fillId="0" borderId="0"/>
    <xf numFmtId="0" fontId="1" fillId="0" borderId="0"/>
    <xf numFmtId="0" fontId="1"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67" fillId="0" borderId="0"/>
    <xf numFmtId="175" fontId="1" fillId="0" borderId="63">
      <alignment horizontal="right"/>
    </xf>
    <xf numFmtId="2" fontId="2" fillId="0" borderId="0"/>
    <xf numFmtId="173" fontId="2" fillId="0" borderId="0"/>
    <xf numFmtId="176" fontId="43" fillId="0" borderId="0"/>
    <xf numFmtId="177" fontId="1" fillId="0" borderId="63">
      <alignment horizontal="right"/>
    </xf>
    <xf numFmtId="3" fontId="96" fillId="0" borderId="0" applyFont="0" applyFill="0" applyBorder="0" applyAlignment="0" applyProtection="0"/>
    <xf numFmtId="0" fontId="97" fillId="0" borderId="0"/>
    <xf numFmtId="0" fontId="97" fillId="0" borderId="0"/>
    <xf numFmtId="0" fontId="97" fillId="0" borderId="0"/>
    <xf numFmtId="0" fontId="97" fillId="0" borderId="0"/>
    <xf numFmtId="164" fontId="1" fillId="0" borderId="0" applyFont="0" applyFill="0" applyBorder="0" applyAlignment="0" applyProtection="0"/>
    <xf numFmtId="0" fontId="97" fillId="0" borderId="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8" fontId="1"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179" fontId="1" fillId="0" borderId="0">
      <alignment horizontal="right"/>
    </xf>
    <xf numFmtId="180" fontId="1" fillId="0" borderId="0" applyFont="0" applyFill="0" applyBorder="0" applyAlignment="0">
      <alignment horizont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2" fontId="1" fillId="0" borderId="0">
      <alignment horizontal="right"/>
    </xf>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8" fontId="1" fillId="0" borderId="0" applyFont="0" applyFill="0" applyBorder="0" applyAlignment="0" applyProtection="0"/>
    <xf numFmtId="18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84" fontId="100" fillId="0" borderId="0" applyFont="0" applyFill="0" applyBorder="0" applyAlignment="0" applyProtection="0"/>
    <xf numFmtId="185" fontId="101" fillId="0" borderId="0"/>
    <xf numFmtId="186" fontId="1" fillId="0" borderId="0" applyFont="0" applyFill="0" applyBorder="0" applyAlignment="0">
      <alignment horizontal="center"/>
    </xf>
    <xf numFmtId="0" fontId="1" fillId="0" borderId="0"/>
    <xf numFmtId="0" fontId="1" fillId="0" borderId="0" applyProtection="0"/>
    <xf numFmtId="0" fontId="6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02" fillId="0" borderId="0"/>
    <xf numFmtId="0" fontId="1" fillId="0" borderId="0"/>
    <xf numFmtId="0" fontId="1" fillId="0" borderId="0"/>
    <xf numFmtId="0" fontId="1" fillId="0" borderId="0"/>
    <xf numFmtId="0" fontId="1" fillId="0" borderId="0"/>
    <xf numFmtId="0" fontId="53" fillId="0" borderId="0"/>
    <xf numFmtId="0" fontId="53" fillId="0" borderId="0"/>
    <xf numFmtId="0" fontId="97" fillId="0" borderId="0"/>
    <xf numFmtId="9" fontId="5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9" fillId="0" borderId="0">
      <alignment vertical="top"/>
    </xf>
    <xf numFmtId="0" fontId="1" fillId="0" borderId="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24" fillId="5" borderId="0" applyNumberFormat="0" applyBorder="0" applyAlignment="0" applyProtection="0"/>
    <xf numFmtId="0" fontId="25" fillId="17" borderId="21" applyNumberFormat="0" applyAlignment="0" applyProtection="0"/>
    <xf numFmtId="0" fontId="25" fillId="17" borderId="21" applyNumberFormat="0" applyAlignment="0" applyProtection="0"/>
    <xf numFmtId="0" fontId="25" fillId="17" borderId="21" applyNumberFormat="0" applyAlignment="0" applyProtection="0"/>
    <xf numFmtId="0" fontId="26" fillId="18" borderId="22" applyNumberFormat="0" applyAlignment="0" applyProtection="0"/>
    <xf numFmtId="0" fontId="27" fillId="0" borderId="23" applyNumberFormat="0" applyFill="0" applyAlignment="0" applyProtection="0"/>
    <xf numFmtId="0" fontId="26" fillId="18" borderId="22" applyNumberFormat="0" applyAlignment="0" applyProtection="0"/>
    <xf numFmtId="0" fontId="26" fillId="18" borderId="22" applyNumberFormat="0" applyAlignment="0" applyProtection="0"/>
    <xf numFmtId="165" fontId="46" fillId="0" borderId="0" applyFont="0" applyFill="0" applyBorder="0" applyAlignment="0" applyProtection="0"/>
    <xf numFmtId="191" fontId="46" fillId="0" borderId="0" applyFont="0" applyFill="0" applyBorder="0" applyAlignment="0" applyProtection="0"/>
    <xf numFmtId="0" fontId="28" fillId="0" borderId="0" applyNumberFormat="0" applyFill="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9" fillId="8" borderId="21" applyNumberFormat="0" applyAlignment="0" applyProtection="0"/>
    <xf numFmtId="0" fontId="119" fillId="7" borderId="28" applyFill="0" applyBorder="0" applyAlignment="0" applyProtection="0"/>
    <xf numFmtId="0" fontId="120" fillId="7" borderId="28" applyFont="0" applyFill="0" applyBorder="0" applyAlignment="0" applyProtection="0"/>
    <xf numFmtId="0" fontId="121" fillId="36" borderId="0"/>
    <xf numFmtId="0" fontId="34" fillId="0" borderId="0" applyNumberFormat="0" applyFill="0" applyBorder="0" applyAlignment="0" applyProtection="0"/>
    <xf numFmtId="0" fontId="34" fillId="0" borderId="0" applyNumberForma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122" fillId="0" borderId="0" applyNumberFormat="0" applyFill="0" applyBorder="0" applyAlignment="0" applyProtection="0"/>
    <xf numFmtId="0" fontId="36" fillId="0" borderId="26" applyNumberFormat="0" applyFill="0" applyAlignment="0" applyProtection="0"/>
    <xf numFmtId="0" fontId="123" fillId="0" borderId="0" applyNumberFormat="0" applyFill="0" applyBorder="0" applyAlignment="0" applyProtection="0"/>
    <xf numFmtId="0" fontId="37" fillId="0" borderId="27"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0" fillId="4" borderId="0" applyNumberFormat="0" applyBorder="0" applyAlignment="0" applyProtection="0"/>
    <xf numFmtId="0" fontId="29" fillId="8" borderId="21" applyNumberFormat="0" applyAlignment="0" applyProtection="0"/>
    <xf numFmtId="0" fontId="29" fillId="8" borderId="21" applyNumberFormat="0" applyAlignment="0" applyProtection="0"/>
    <xf numFmtId="0" fontId="27" fillId="0" borderId="23" applyNumberFormat="0" applyFill="0" applyAlignment="0" applyProtection="0"/>
    <xf numFmtId="0" fontId="27" fillId="0" borderId="23" applyNumberFormat="0" applyFill="0" applyAlignment="0" applyProtection="0"/>
    <xf numFmtId="0" fontId="31" fillId="23" borderId="0" applyNumberFormat="0" applyBorder="0" applyAlignment="0" applyProtection="0"/>
    <xf numFmtId="0" fontId="124" fillId="0" borderId="0"/>
    <xf numFmtId="0" fontId="1" fillId="0" borderId="0"/>
    <xf numFmtId="0" fontId="124" fillId="0" borderId="0"/>
    <xf numFmtId="0" fontId="53" fillId="0" borderId="0"/>
    <xf numFmtId="0" fontId="22" fillId="0" borderId="0"/>
    <xf numFmtId="0" fontId="22" fillId="0" borderId="0"/>
    <xf numFmtId="0" fontId="1" fillId="0" borderId="0"/>
    <xf numFmtId="0" fontId="53" fillId="0" borderId="0"/>
    <xf numFmtId="0" fontId="1" fillId="24" borderId="24" applyNumberFormat="0" applyFont="0" applyAlignment="0" applyProtection="0"/>
    <xf numFmtId="0" fontId="32" fillId="17" borderId="25" applyNumberFormat="0" applyAlignment="0" applyProtection="0"/>
    <xf numFmtId="0" fontId="32" fillId="17" borderId="25"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0" fontId="32" fillId="17" borderId="2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26" applyNumberFormat="0" applyFill="0" applyAlignment="0" applyProtection="0"/>
    <xf numFmtId="0" fontId="37" fillId="0" borderId="27" applyNumberFormat="0" applyFill="0" applyAlignment="0" applyProtection="0"/>
    <xf numFmtId="0" fontId="28" fillId="0" borderId="28" applyNumberFormat="0" applyFill="0" applyAlignment="0" applyProtection="0"/>
    <xf numFmtId="0" fontId="35"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 fillId="0" borderId="0"/>
    <xf numFmtId="0" fontId="124" fillId="0" borderId="0"/>
    <xf numFmtId="0" fontId="1" fillId="0" borderId="0"/>
    <xf numFmtId="0" fontId="124" fillId="0" borderId="0"/>
    <xf numFmtId="0" fontId="1" fillId="0" borderId="0"/>
    <xf numFmtId="9" fontId="53" fillId="0" borderId="0" applyFont="0" applyFill="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xf numFmtId="0" fontId="1" fillId="0" borderId="0"/>
    <xf numFmtId="0" fontId="53" fillId="0" borderId="0"/>
    <xf numFmtId="0" fontId="53" fillId="0" borderId="0"/>
    <xf numFmtId="0" fontId="53" fillId="0" borderId="0"/>
    <xf numFmtId="0" fontId="53" fillId="0" borderId="0"/>
    <xf numFmtId="0" fontId="53" fillId="0" borderId="0"/>
    <xf numFmtId="1"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1" fillId="0" borderId="0"/>
    <xf numFmtId="0" fontId="1" fillId="0" borderId="0"/>
    <xf numFmtId="0" fontId="1" fillId="0" borderId="0"/>
  </cellStyleXfs>
  <cellXfs count="4219">
    <xf numFmtId="0" fontId="0" fillId="0" borderId="0" xfId="0"/>
    <xf numFmtId="0" fontId="1" fillId="2" borderId="0" xfId="0" applyFont="1" applyFill="1" applyAlignment="1" applyProtection="1">
      <protection locked="0"/>
    </xf>
    <xf numFmtId="0" fontId="1" fillId="0" borderId="0" xfId="72" applyFont="1" applyBorder="1" applyAlignment="1" applyProtection="1">
      <alignment vertical="center"/>
      <protection locked="0"/>
    </xf>
    <xf numFmtId="0" fontId="1" fillId="0" borderId="0" xfId="208" applyBorder="1" applyProtection="1"/>
    <xf numFmtId="0" fontId="110" fillId="0" borderId="57" xfId="429" applyFont="1" applyBorder="1" applyAlignment="1" applyProtection="1">
      <alignment horizontal="center" vertical="center"/>
      <protection locked="0"/>
    </xf>
    <xf numFmtId="168" fontId="4" fillId="27" borderId="0" xfId="0" applyNumberFormat="1" applyFont="1" applyFill="1" applyBorder="1" applyAlignment="1" applyProtection="1">
      <alignment vertical="center" wrapText="1"/>
      <protection locked="0"/>
    </xf>
    <xf numFmtId="0" fontId="129" fillId="2" borderId="37" xfId="150" applyFont="1" applyFill="1" applyBorder="1" applyAlignment="1" applyProtection="1">
      <alignment horizontal="center"/>
      <protection locked="0"/>
    </xf>
    <xf numFmtId="0" fontId="129" fillId="2" borderId="0" xfId="150" applyFont="1" applyFill="1" applyBorder="1" applyAlignment="1" applyProtection="1">
      <alignment horizontal="center"/>
      <protection locked="0"/>
    </xf>
    <xf numFmtId="0" fontId="129" fillId="2" borderId="71" xfId="150" applyFont="1" applyFill="1" applyBorder="1" applyAlignment="1" applyProtection="1">
      <alignment horizontal="center"/>
      <protection locked="0"/>
    </xf>
    <xf numFmtId="2" fontId="129" fillId="2" borderId="37" xfId="150" applyNumberFormat="1" applyFont="1" applyFill="1" applyBorder="1" applyAlignment="1" applyProtection="1">
      <alignment horizontal="center"/>
      <protection locked="0"/>
    </xf>
    <xf numFmtId="2" fontId="129" fillId="2" borderId="0" xfId="150" applyNumberFormat="1" applyFont="1" applyFill="1" applyBorder="1" applyAlignment="1" applyProtection="1">
      <alignment horizontal="center"/>
      <protection locked="0"/>
    </xf>
    <xf numFmtId="2" fontId="129" fillId="2" borderId="71" xfId="150" applyNumberFormat="1" applyFont="1" applyFill="1" applyBorder="1" applyAlignment="1" applyProtection="1">
      <alignment horizontal="center"/>
      <protection locked="0"/>
    </xf>
    <xf numFmtId="0" fontId="129" fillId="2" borderId="38" xfId="150" applyFont="1" applyFill="1" applyBorder="1" applyAlignment="1" applyProtection="1">
      <alignment horizontal="center"/>
      <protection locked="0"/>
    </xf>
    <xf numFmtId="2" fontId="129" fillId="2" borderId="38" xfId="150" applyNumberFormat="1" applyFont="1" applyFill="1" applyBorder="1" applyAlignment="1" applyProtection="1">
      <alignment horizontal="center"/>
      <protection locked="0"/>
    </xf>
    <xf numFmtId="0" fontId="4" fillId="2" borderId="32" xfId="150" applyFont="1" applyFill="1" applyBorder="1" applyAlignment="1" applyProtection="1">
      <alignment vertical="center"/>
    </xf>
    <xf numFmtId="167" fontId="132" fillId="0" borderId="93" xfId="70" applyNumberFormat="1" applyFont="1" applyFill="1" applyBorder="1" applyAlignment="1" applyProtection="1">
      <alignment horizontal="center" vertical="center"/>
    </xf>
    <xf numFmtId="0" fontId="4" fillId="0" borderId="20" xfId="208" applyFont="1" applyBorder="1" applyProtection="1"/>
    <xf numFmtId="0" fontId="4" fillId="0" borderId="10" xfId="429" applyFont="1" applyBorder="1" applyAlignment="1" applyProtection="1">
      <alignment horizontal="center" vertical="center"/>
      <protection locked="0"/>
    </xf>
    <xf numFmtId="167" fontId="4" fillId="2" borderId="10" xfId="429" applyNumberFormat="1" applyFont="1" applyFill="1" applyBorder="1" applyAlignment="1" applyProtection="1">
      <alignment horizontal="center" vertical="center"/>
    </xf>
    <xf numFmtId="2" fontId="4" fillId="2" borderId="10" xfId="429" applyNumberFormat="1" applyFont="1" applyFill="1" applyBorder="1" applyAlignment="1" applyProtection="1">
      <alignment horizontal="center" vertical="center"/>
    </xf>
    <xf numFmtId="2" fontId="4" fillId="0" borderId="10" xfId="429" applyNumberFormat="1" applyFont="1" applyBorder="1" applyAlignment="1" applyProtection="1">
      <alignment horizontal="center" vertical="center"/>
    </xf>
    <xf numFmtId="0" fontId="5" fillId="27" borderId="14" xfId="71" applyFont="1" applyFill="1" applyBorder="1" applyAlignment="1" applyProtection="1">
      <alignment horizontal="left" vertical="center"/>
    </xf>
    <xf numFmtId="0" fontId="5" fillId="27" borderId="20" xfId="71" applyFont="1" applyFill="1" applyBorder="1" applyAlignment="1" applyProtection="1">
      <alignment horizontal="left" vertical="center"/>
    </xf>
    <xf numFmtId="1" fontId="129" fillId="0" borderId="20" xfId="208" applyNumberFormat="1" applyFont="1" applyBorder="1" applyAlignment="1" applyProtection="1">
      <alignment horizontal="center"/>
    </xf>
    <xf numFmtId="167" fontId="129" fillId="0" borderId="19" xfId="208" applyNumberFormat="1" applyFont="1" applyBorder="1" applyAlignment="1" applyProtection="1">
      <alignment horizontal="center"/>
    </xf>
    <xf numFmtId="0" fontId="43" fillId="0" borderId="63" xfId="208" applyFont="1" applyBorder="1" applyAlignment="1" applyProtection="1">
      <alignment horizontal="left" indent="4"/>
    </xf>
    <xf numFmtId="0" fontId="5" fillId="27" borderId="20" xfId="71" applyFont="1" applyFill="1" applyBorder="1" applyAlignment="1" applyProtection="1">
      <alignment vertical="center"/>
    </xf>
    <xf numFmtId="0" fontId="43" fillId="0" borderId="63" xfId="208" applyFont="1" applyBorder="1" applyAlignment="1" applyProtection="1">
      <alignment horizontal="left" wrapText="1" indent="4"/>
    </xf>
    <xf numFmtId="0" fontId="2" fillId="0" borderId="12" xfId="208" applyFont="1" applyBorder="1" applyAlignment="1" applyProtection="1">
      <alignment horizontal="center" vertical="center"/>
    </xf>
    <xf numFmtId="0" fontId="2" fillId="0" borderId="12" xfId="208" applyFont="1" applyBorder="1" applyAlignment="1" applyProtection="1">
      <alignment vertical="center" wrapText="1"/>
    </xf>
    <xf numFmtId="173" fontId="43" fillId="0" borderId="30" xfId="208" applyNumberFormat="1" applyFont="1" applyBorder="1" applyAlignment="1" applyProtection="1">
      <alignment vertical="center"/>
    </xf>
    <xf numFmtId="173" fontId="43" fillId="0" borderId="63" xfId="208" applyNumberFormat="1" applyFont="1" applyBorder="1" applyAlignment="1" applyProtection="1">
      <alignment vertical="center"/>
    </xf>
    <xf numFmtId="0" fontId="2" fillId="0" borderId="231" xfId="208" applyFont="1" applyBorder="1" applyAlignment="1" applyProtection="1">
      <alignment horizontal="center" vertical="center"/>
    </xf>
    <xf numFmtId="167" fontId="2" fillId="0" borderId="155" xfId="208" applyNumberFormat="1" applyFont="1" applyBorder="1" applyAlignment="1" applyProtection="1">
      <alignment horizontal="center" vertical="center"/>
    </xf>
    <xf numFmtId="0" fontId="43" fillId="25" borderId="30" xfId="208" applyFont="1" applyFill="1" applyBorder="1" applyAlignment="1" applyProtection="1">
      <alignment horizontal="center" vertical="center"/>
    </xf>
    <xf numFmtId="0" fontId="2" fillId="27" borderId="38" xfId="71" applyFont="1" applyFill="1" applyBorder="1" applyAlignment="1" applyProtection="1">
      <alignment horizontal="left" vertical="center"/>
    </xf>
    <xf numFmtId="168" fontId="2" fillId="27" borderId="38" xfId="71" applyNumberFormat="1" applyFont="1" applyFill="1" applyBorder="1" applyAlignment="1" applyProtection="1">
      <alignment horizontal="left" vertical="center"/>
    </xf>
    <xf numFmtId="0" fontId="5" fillId="25" borderId="63" xfId="68" applyFont="1" applyFill="1" applyBorder="1" applyAlignment="1" applyProtection="1">
      <alignment horizontal="left" vertical="center" indent="2"/>
    </xf>
    <xf numFmtId="0" fontId="5" fillId="25" borderId="64" xfId="68" applyFont="1" applyFill="1" applyBorder="1" applyAlignment="1" applyProtection="1">
      <alignment horizontal="left" vertical="center" indent="2"/>
    </xf>
    <xf numFmtId="0" fontId="2" fillId="0" borderId="17" xfId="208" applyFont="1" applyBorder="1" applyAlignment="1" applyProtection="1">
      <alignment horizontal="center"/>
    </xf>
    <xf numFmtId="0" fontId="2" fillId="0" borderId="40" xfId="208" applyFont="1" applyBorder="1" applyAlignment="1" applyProtection="1">
      <alignment horizontal="center"/>
    </xf>
    <xf numFmtId="0" fontId="2" fillId="0" borderId="41" xfId="208" applyFont="1" applyBorder="1" applyAlignment="1" applyProtection="1">
      <alignment horizontal="center"/>
    </xf>
    <xf numFmtId="167" fontId="43" fillId="2" borderId="299" xfId="208" applyNumberFormat="1" applyFont="1" applyFill="1" applyBorder="1" applyAlignment="1" applyProtection="1">
      <alignment horizontal="center" vertical="center" wrapText="1"/>
    </xf>
    <xf numFmtId="0" fontId="2" fillId="0" borderId="35" xfId="208" applyFont="1" applyBorder="1" applyAlignment="1" applyProtection="1">
      <alignment horizontal="right" vertical="center"/>
    </xf>
    <xf numFmtId="0" fontId="2" fillId="0" borderId="0" xfId="208" applyFont="1" applyBorder="1" applyAlignment="1" applyProtection="1">
      <alignment vertical="center"/>
    </xf>
    <xf numFmtId="0" fontId="2" fillId="0" borderId="0" xfId="208" applyFont="1" applyBorder="1" applyAlignment="1" applyProtection="1">
      <alignment horizontal="right" vertical="center"/>
    </xf>
    <xf numFmtId="0" fontId="43" fillId="27" borderId="0" xfId="70" applyFont="1" applyFill="1" applyBorder="1" applyAlignment="1" applyProtection="1">
      <alignment horizontal="right" vertical="center" wrapText="1"/>
    </xf>
    <xf numFmtId="190" fontId="2" fillId="0" borderId="0" xfId="71" applyNumberFormat="1" applyFont="1" applyBorder="1" applyAlignment="1" applyProtection="1">
      <alignment vertical="center"/>
    </xf>
    <xf numFmtId="190" fontId="43" fillId="0" borderId="0" xfId="71" applyNumberFormat="1" applyFont="1" applyBorder="1" applyAlignment="1" applyProtection="1">
      <alignment horizontal="right" vertical="center"/>
    </xf>
    <xf numFmtId="190" fontId="2" fillId="27" borderId="0" xfId="71" applyNumberFormat="1" applyFont="1" applyFill="1" applyBorder="1" applyAlignment="1" applyProtection="1">
      <alignment vertical="center"/>
    </xf>
    <xf numFmtId="0" fontId="16" fillId="27" borderId="42" xfId="1" applyFont="1" applyFill="1" applyBorder="1" applyAlignment="1" applyProtection="1">
      <alignment vertical="center"/>
    </xf>
    <xf numFmtId="167" fontId="4" fillId="0" borderId="10" xfId="429" applyNumberFormat="1" applyFont="1" applyBorder="1" applyAlignment="1" applyProtection="1">
      <alignment horizontal="center" vertical="center"/>
    </xf>
    <xf numFmtId="167" fontId="127" fillId="0" borderId="0" xfId="429" applyNumberFormat="1" applyFont="1" applyBorder="1" applyAlignment="1" applyProtection="1">
      <alignment horizontal="center" vertical="center"/>
      <protection locked="0"/>
    </xf>
    <xf numFmtId="0" fontId="4" fillId="25" borderId="11" xfId="429" applyFont="1" applyFill="1" applyBorder="1" applyAlignment="1" applyProtection="1">
      <alignment horizontal="right" vertical="center" wrapText="1"/>
    </xf>
    <xf numFmtId="1" fontId="4" fillId="27" borderId="10" xfId="429" applyNumberFormat="1" applyFont="1" applyFill="1" applyBorder="1" applyAlignment="1" applyProtection="1">
      <alignment horizontal="center" vertical="center"/>
    </xf>
    <xf numFmtId="167" fontId="2" fillId="0" borderId="219" xfId="208" applyNumberFormat="1" applyFont="1" applyBorder="1" applyAlignment="1" applyProtection="1">
      <alignment horizontal="center" vertical="center"/>
    </xf>
    <xf numFmtId="1" fontId="2" fillId="0" borderId="323" xfId="208" applyNumberFormat="1" applyFont="1" applyBorder="1" applyAlignment="1" applyProtection="1">
      <alignment horizontal="center" vertical="center"/>
    </xf>
    <xf numFmtId="0" fontId="42" fillId="0" borderId="19" xfId="208" applyFont="1" applyBorder="1" applyAlignment="1" applyProtection="1">
      <alignment horizontal="center" vertical="center"/>
    </xf>
    <xf numFmtId="0" fontId="144" fillId="25" borderId="108" xfId="208" applyFont="1" applyFill="1" applyBorder="1" applyAlignment="1" applyProtection="1">
      <alignment horizontal="center"/>
    </xf>
    <xf numFmtId="167" fontId="146" fillId="0" borderId="108" xfId="208" applyNumberFormat="1" applyFont="1" applyFill="1" applyBorder="1" applyAlignment="1" applyProtection="1">
      <alignment horizontal="center"/>
    </xf>
    <xf numFmtId="167" fontId="146" fillId="0" borderId="325" xfId="208" applyNumberFormat="1" applyFont="1" applyFill="1" applyBorder="1" applyAlignment="1" applyProtection="1">
      <alignment horizontal="center"/>
    </xf>
    <xf numFmtId="0" fontId="2" fillId="0" borderId="17" xfId="208" applyFont="1" applyBorder="1" applyAlignment="1" applyProtection="1">
      <alignment vertical="center"/>
    </xf>
    <xf numFmtId="0" fontId="4" fillId="0" borderId="15" xfId="208" applyFont="1" applyBorder="1" applyAlignment="1" applyProtection="1">
      <alignment horizontal="center"/>
    </xf>
    <xf numFmtId="0" fontId="4" fillId="0" borderId="16" xfId="208" applyFont="1" applyBorder="1" applyProtection="1"/>
    <xf numFmtId="0" fontId="144" fillId="25" borderId="35" xfId="208" applyFont="1" applyFill="1" applyBorder="1" applyAlignment="1" applyProtection="1">
      <alignment horizontal="center" vertical="center" wrapText="1"/>
    </xf>
    <xf numFmtId="0" fontId="144" fillId="25" borderId="0" xfId="208" applyFont="1" applyFill="1" applyBorder="1" applyAlignment="1" applyProtection="1">
      <alignment horizontal="center" vertical="center" wrapText="1"/>
    </xf>
    <xf numFmtId="0" fontId="144" fillId="25" borderId="0" xfId="208" applyFont="1" applyFill="1" applyBorder="1" applyAlignment="1" applyProtection="1">
      <alignment horizontal="center"/>
    </xf>
    <xf numFmtId="1" fontId="146" fillId="0" borderId="0" xfId="208" applyNumberFormat="1" applyFont="1" applyFill="1" applyBorder="1" applyAlignment="1" applyProtection="1">
      <alignment horizontal="center"/>
    </xf>
    <xf numFmtId="1" fontId="146" fillId="0" borderId="40" xfId="208" applyNumberFormat="1" applyFont="1" applyFill="1" applyBorder="1" applyAlignment="1" applyProtection="1">
      <alignment horizontal="center"/>
    </xf>
    <xf numFmtId="167" fontId="148" fillId="36" borderId="57" xfId="431" applyNumberFormat="1" applyFont="1" applyFill="1" applyBorder="1" applyAlignment="1" applyProtection="1">
      <alignment horizontal="center" vertical="center"/>
      <protection locked="0"/>
    </xf>
    <xf numFmtId="1" fontId="155" fillId="0" borderId="64" xfId="208" applyNumberFormat="1" applyFont="1" applyBorder="1" applyAlignment="1" applyProtection="1">
      <alignment horizontal="center" vertical="center"/>
    </xf>
    <xf numFmtId="173" fontId="155" fillId="0" borderId="63" xfId="208" applyNumberFormat="1" applyFont="1" applyBorder="1" applyAlignment="1" applyProtection="1">
      <alignment horizontal="center"/>
    </xf>
    <xf numFmtId="1" fontId="1" fillId="2" borderId="40" xfId="150" applyNumberFormat="1" applyFont="1" applyFill="1" applyBorder="1" applyAlignment="1" applyProtection="1">
      <alignment horizontal="center"/>
    </xf>
    <xf numFmtId="0" fontId="5" fillId="25" borderId="30" xfId="70" applyFont="1" applyFill="1" applyBorder="1" applyAlignment="1" applyProtection="1">
      <alignment horizontal="center" vertical="center" wrapText="1"/>
    </xf>
    <xf numFmtId="0" fontId="132" fillId="25" borderId="64" xfId="70" applyFont="1" applyFill="1" applyBorder="1" applyAlignment="1" applyProtection="1">
      <alignment horizontal="center" vertical="center"/>
    </xf>
    <xf numFmtId="0" fontId="43" fillId="27" borderId="20" xfId="71" applyFont="1" applyFill="1" applyBorder="1" applyAlignment="1" applyProtection="1">
      <alignment horizontal="left" vertical="center"/>
    </xf>
    <xf numFmtId="168" fontId="2" fillId="27" borderId="19" xfId="208" applyNumberFormat="1" applyFont="1" applyFill="1" applyBorder="1" applyAlignment="1" applyProtection="1">
      <alignment horizontal="left"/>
    </xf>
    <xf numFmtId="0" fontId="4" fillId="0" borderId="0" xfId="72" applyFont="1" applyBorder="1" applyProtection="1">
      <protection locked="0"/>
    </xf>
    <xf numFmtId="0" fontId="4" fillId="0" borderId="0" xfId="72" applyFont="1" applyProtection="1">
      <protection locked="0"/>
    </xf>
    <xf numFmtId="0" fontId="4" fillId="0" borderId="0" xfId="72" applyFont="1" applyBorder="1" applyAlignment="1" applyProtection="1">
      <protection locked="0"/>
    </xf>
    <xf numFmtId="0" fontId="4" fillId="0" borderId="0" xfId="72" applyFont="1" applyBorder="1" applyAlignment="1" applyProtection="1">
      <alignment vertical="center"/>
      <protection locked="0"/>
    </xf>
    <xf numFmtId="0" fontId="1" fillId="27" borderId="0" xfId="71" applyFont="1" applyFill="1" applyBorder="1" applyProtection="1">
      <protection locked="0"/>
    </xf>
    <xf numFmtId="0" fontId="47" fillId="0" borderId="0" xfId="69" applyFont="1" applyBorder="1" applyAlignment="1" applyProtection="1">
      <alignment wrapText="1"/>
      <protection locked="0"/>
    </xf>
    <xf numFmtId="0" fontId="47" fillId="27" borderId="0" xfId="69" applyFont="1" applyFill="1" applyBorder="1" applyAlignment="1" applyProtection="1">
      <alignment wrapText="1"/>
      <protection locked="0"/>
    </xf>
    <xf numFmtId="0" fontId="1" fillId="0" borderId="0" xfId="71" applyFont="1" applyFill="1" applyProtection="1">
      <protection locked="0"/>
    </xf>
    <xf numFmtId="0" fontId="47" fillId="0" borderId="0" xfId="70" applyFont="1" applyFill="1" applyBorder="1" applyAlignment="1" applyProtection="1">
      <alignment vertical="center" wrapText="1"/>
      <protection locked="0"/>
    </xf>
    <xf numFmtId="0" fontId="10" fillId="2" borderId="0" xfId="0" applyFont="1" applyFill="1" applyProtection="1">
      <protection locked="0"/>
    </xf>
    <xf numFmtId="0" fontId="39" fillId="2" borderId="0" xfId="0" applyFont="1" applyFill="1" applyProtection="1">
      <protection locked="0"/>
    </xf>
    <xf numFmtId="0" fontId="0" fillId="2" borderId="0" xfId="0" applyFill="1" applyProtection="1">
      <protection locked="0"/>
    </xf>
    <xf numFmtId="0" fontId="1" fillId="0" borderId="0" xfId="21" applyFont="1" applyFill="1" applyAlignment="1" applyProtection="1">
      <alignment vertical="center"/>
      <protection locked="0"/>
    </xf>
    <xf numFmtId="0" fontId="0" fillId="2" borderId="0" xfId="0" applyFill="1" applyAlignment="1" applyProtection="1">
      <protection locked="0"/>
    </xf>
    <xf numFmtId="0" fontId="1" fillId="0" borderId="0" xfId="71" applyFont="1" applyFill="1" applyAlignment="1" applyProtection="1">
      <alignment vertical="center"/>
      <protection locked="0"/>
    </xf>
    <xf numFmtId="0" fontId="50" fillId="0" borderId="0" xfId="72" applyProtection="1">
      <protection locked="0"/>
    </xf>
    <xf numFmtId="0" fontId="3" fillId="2" borderId="0" xfId="72" applyFont="1" applyFill="1" applyBorder="1" applyAlignment="1" applyProtection="1">
      <alignment horizontal="center"/>
      <protection locked="0"/>
    </xf>
    <xf numFmtId="0" fontId="54" fillId="2" borderId="0" xfId="72" applyFont="1" applyFill="1" applyBorder="1" applyAlignment="1" applyProtection="1">
      <alignment horizontal="center" vertical="center"/>
      <protection locked="0"/>
    </xf>
    <xf numFmtId="0" fontId="50" fillId="0" borderId="0" xfId="72" applyBorder="1" applyProtection="1">
      <protection locked="0"/>
    </xf>
    <xf numFmtId="0" fontId="50" fillId="2" borderId="0" xfId="72" applyFill="1" applyBorder="1" applyProtection="1">
      <protection locked="0"/>
    </xf>
    <xf numFmtId="0" fontId="43" fillId="2" borderId="0" xfId="72" applyFont="1" applyFill="1" applyBorder="1" applyAlignment="1" applyProtection="1">
      <alignment horizontal="center"/>
      <protection locked="0"/>
    </xf>
    <xf numFmtId="0" fontId="45" fillId="2" borderId="0" xfId="72" applyFont="1" applyFill="1" applyBorder="1" applyAlignment="1" applyProtection="1">
      <alignment horizontal="center"/>
      <protection locked="0"/>
    </xf>
    <xf numFmtId="0" fontId="55" fillId="2" borderId="0" xfId="72" applyFont="1" applyFill="1" applyBorder="1" applyProtection="1">
      <protection locked="0"/>
    </xf>
    <xf numFmtId="0" fontId="5" fillId="0" borderId="0" xfId="72" applyFont="1" applyBorder="1" applyAlignment="1" applyProtection="1">
      <protection locked="0"/>
    </xf>
    <xf numFmtId="0" fontId="1" fillId="0" borderId="0" xfId="72" applyFont="1" applyBorder="1" applyAlignment="1" applyProtection="1">
      <alignment horizontal="left"/>
      <protection locked="0"/>
    </xf>
    <xf numFmtId="0" fontId="50" fillId="0" borderId="0" xfId="72" applyBorder="1" applyAlignment="1" applyProtection="1">
      <alignment horizontal="left"/>
      <protection locked="0"/>
    </xf>
    <xf numFmtId="0" fontId="3" fillId="0" borderId="0" xfId="72" applyFont="1" applyBorder="1" applyAlignment="1" applyProtection="1">
      <protection locked="0"/>
    </xf>
    <xf numFmtId="0" fontId="50" fillId="0" borderId="0" xfId="72" applyBorder="1" applyAlignment="1" applyProtection="1">
      <protection locked="0"/>
    </xf>
    <xf numFmtId="0" fontId="4" fillId="0" borderId="0" xfId="72" applyFont="1" applyBorder="1" applyAlignment="1" applyProtection="1">
      <alignment horizontal="left"/>
      <protection locked="0"/>
    </xf>
    <xf numFmtId="0" fontId="136" fillId="0" borderId="0" xfId="72" applyFont="1" applyProtection="1">
      <protection locked="0"/>
    </xf>
    <xf numFmtId="0" fontId="50" fillId="0" borderId="0" xfId="72" applyAlignment="1" applyProtection="1">
      <alignment vertical="center"/>
      <protection locked="0"/>
    </xf>
    <xf numFmtId="0" fontId="104" fillId="0" borderId="0" xfId="72" applyFont="1" applyBorder="1" applyProtection="1">
      <protection locked="0"/>
    </xf>
    <xf numFmtId="0" fontId="104" fillId="0" borderId="0" xfId="72" applyFont="1" applyProtection="1">
      <protection locked="0"/>
    </xf>
    <xf numFmtId="0" fontId="1" fillId="0" borderId="38" xfId="71" applyFont="1" applyFill="1" applyBorder="1" applyProtection="1">
      <protection locked="0"/>
    </xf>
    <xf numFmtId="0" fontId="16" fillId="2" borderId="0" xfId="72" applyFont="1" applyFill="1" applyBorder="1" applyAlignment="1" applyProtection="1">
      <alignment vertical="center"/>
      <protection locked="0"/>
    </xf>
    <xf numFmtId="0" fontId="16" fillId="0" borderId="0" xfId="72" applyFont="1" applyBorder="1" applyAlignment="1" applyProtection="1">
      <alignment vertical="center" wrapText="1"/>
      <protection locked="0"/>
    </xf>
    <xf numFmtId="0" fontId="4" fillId="0" borderId="0" xfId="72" applyFont="1" applyFill="1" applyBorder="1" applyAlignment="1" applyProtection="1">
      <alignment vertical="center"/>
      <protection locked="0"/>
    </xf>
    <xf numFmtId="0" fontId="10" fillId="2" borderId="0" xfId="21" applyFont="1" applyFill="1" applyProtection="1">
      <protection locked="0"/>
    </xf>
    <xf numFmtId="0" fontId="20" fillId="2" borderId="0" xfId="72" applyFont="1" applyFill="1" applyAlignment="1" applyProtection="1">
      <protection locked="0"/>
    </xf>
    <xf numFmtId="0" fontId="50" fillId="0" borderId="0" xfId="72" applyBorder="1" applyAlignment="1" applyProtection="1">
      <alignment vertical="center"/>
      <protection locked="0"/>
    </xf>
    <xf numFmtId="0" fontId="50" fillId="0" borderId="0" xfId="72" applyFill="1" applyBorder="1" applyAlignment="1" applyProtection="1">
      <alignment vertical="center"/>
      <protection locked="0"/>
    </xf>
    <xf numFmtId="0" fontId="20" fillId="0" borderId="0" xfId="72" applyFont="1" applyAlignment="1" applyProtection="1">
      <protection locked="0"/>
    </xf>
    <xf numFmtId="0" fontId="4" fillId="0" borderId="0" xfId="72" applyFont="1" applyFill="1" applyAlignment="1" applyProtection="1">
      <alignment vertical="center"/>
      <protection locked="0"/>
    </xf>
    <xf numFmtId="0" fontId="4" fillId="0" borderId="0" xfId="72" applyFont="1" applyAlignment="1" applyProtection="1">
      <alignment vertical="center"/>
      <protection locked="0"/>
    </xf>
    <xf numFmtId="0" fontId="4" fillId="2" borderId="0" xfId="72" applyFont="1" applyFill="1" applyBorder="1" applyAlignment="1" applyProtection="1">
      <alignment vertical="center"/>
      <protection locked="0"/>
    </xf>
    <xf numFmtId="0" fontId="50" fillId="0" borderId="0" xfId="72" applyFill="1" applyAlignment="1" applyProtection="1">
      <alignment vertical="center"/>
      <protection locked="0"/>
    </xf>
    <xf numFmtId="0" fontId="1" fillId="2" borderId="14" xfId="1" applyFont="1" applyFill="1" applyBorder="1" applyAlignment="1" applyProtection="1">
      <protection locked="0"/>
    </xf>
    <xf numFmtId="0" fontId="1" fillId="2" borderId="13" xfId="1" applyFont="1" applyFill="1" applyBorder="1" applyAlignment="1" applyProtection="1">
      <protection locked="0"/>
    </xf>
    <xf numFmtId="0" fontId="1" fillId="2" borderId="18" xfId="1" applyFont="1" applyFill="1" applyBorder="1" applyAlignment="1" applyProtection="1">
      <protection locked="0"/>
    </xf>
    <xf numFmtId="0" fontId="4" fillId="0" borderId="18" xfId="1" applyFont="1" applyBorder="1" applyAlignment="1" applyProtection="1">
      <alignment vertical="center"/>
      <protection locked="0"/>
    </xf>
    <xf numFmtId="0" fontId="1" fillId="0" borderId="0" xfId="1" applyProtection="1">
      <protection locked="0"/>
    </xf>
    <xf numFmtId="0" fontId="1" fillId="0" borderId="0" xfId="1" applyFont="1" applyProtection="1">
      <protection locked="0"/>
    </xf>
    <xf numFmtId="0" fontId="4" fillId="0" borderId="0" xfId="1" applyFont="1" applyProtection="1">
      <protection locked="0"/>
    </xf>
    <xf numFmtId="0" fontId="4" fillId="0" borderId="99" xfId="1" applyFont="1" applyBorder="1" applyProtection="1">
      <protection locked="0"/>
    </xf>
    <xf numFmtId="0" fontId="4" fillId="0" borderId="35" xfId="1" applyFont="1" applyBorder="1" applyProtection="1">
      <protection locked="0"/>
    </xf>
    <xf numFmtId="0" fontId="4" fillId="0" borderId="137" xfId="1" applyFont="1" applyBorder="1" applyProtection="1">
      <protection locked="0"/>
    </xf>
    <xf numFmtId="0" fontId="1" fillId="0" borderId="20" xfId="1" applyFont="1" applyBorder="1" applyAlignment="1" applyProtection="1">
      <protection locked="0"/>
    </xf>
    <xf numFmtId="0" fontId="1" fillId="0" borderId="0" xfId="1" applyFont="1" applyBorder="1" applyProtection="1">
      <protection locked="0"/>
    </xf>
    <xf numFmtId="0" fontId="1" fillId="0" borderId="19" xfId="1" applyFont="1" applyBorder="1" applyProtection="1">
      <protection locked="0"/>
    </xf>
    <xf numFmtId="0" fontId="1" fillId="0" borderId="20" xfId="1" applyFont="1" applyBorder="1" applyProtection="1">
      <protection locked="0"/>
    </xf>
    <xf numFmtId="0" fontId="1" fillId="0" borderId="0" xfId="1" applyFont="1" applyBorder="1" applyAlignment="1" applyProtection="1">
      <protection locked="0"/>
    </xf>
    <xf numFmtId="0" fontId="4" fillId="0" borderId="20" xfId="1" applyFont="1" applyBorder="1" applyAlignment="1" applyProtection="1">
      <protection locked="0"/>
    </xf>
    <xf numFmtId="0" fontId="4" fillId="0" borderId="0" xfId="1" applyFont="1" applyBorder="1" applyAlignment="1" applyProtection="1">
      <protection locked="0"/>
    </xf>
    <xf numFmtId="0" fontId="4" fillId="0" borderId="0" xfId="1" applyFont="1" applyBorder="1" applyProtection="1">
      <protection locked="0"/>
    </xf>
    <xf numFmtId="0" fontId="4" fillId="0" borderId="19" xfId="1" applyFont="1" applyBorder="1" applyProtection="1">
      <protection locked="0"/>
    </xf>
    <xf numFmtId="2" fontId="57" fillId="0" borderId="20" xfId="1" applyNumberFormat="1" applyFont="1" applyFill="1" applyBorder="1" applyAlignment="1" applyProtection="1">
      <protection locked="0"/>
    </xf>
    <xf numFmtId="2" fontId="58" fillId="0" borderId="0" xfId="1" applyNumberFormat="1" applyFont="1" applyFill="1" applyBorder="1" applyAlignment="1" applyProtection="1">
      <protection locked="0"/>
    </xf>
    <xf numFmtId="0" fontId="2" fillId="0" borderId="0" xfId="1" applyFont="1" applyBorder="1" applyProtection="1">
      <protection locked="0"/>
    </xf>
    <xf numFmtId="2" fontId="58" fillId="0" borderId="20" xfId="1" applyNumberFormat="1" applyFont="1" applyFill="1" applyBorder="1" applyAlignment="1" applyProtection="1">
      <protection locked="0"/>
    </xf>
    <xf numFmtId="0" fontId="1" fillId="0" borderId="154" xfId="1" applyFont="1" applyBorder="1" applyProtection="1">
      <protection locked="0"/>
    </xf>
    <xf numFmtId="0" fontId="1" fillId="0" borderId="40" xfId="1" applyFont="1" applyBorder="1" applyProtection="1">
      <protection locked="0"/>
    </xf>
    <xf numFmtId="0" fontId="1" fillId="0" borderId="155" xfId="1" applyFont="1" applyBorder="1" applyProtection="1">
      <protection locked="0"/>
    </xf>
    <xf numFmtId="0" fontId="1" fillId="0" borderId="0" xfId="68" applyFont="1" applyProtection="1">
      <protection locked="0"/>
    </xf>
    <xf numFmtId="0" fontId="1" fillId="0" borderId="0" xfId="74" applyFont="1" applyProtection="1">
      <protection locked="0"/>
    </xf>
    <xf numFmtId="0" fontId="1" fillId="0" borderId="0" xfId="68" applyFont="1" applyAlignment="1" applyProtection="1">
      <alignment vertical="center"/>
      <protection locked="0"/>
    </xf>
    <xf numFmtId="0" fontId="1" fillId="0" borderId="0" xfId="74" applyFont="1" applyAlignment="1" applyProtection="1">
      <alignment vertical="center"/>
      <protection locked="0"/>
    </xf>
    <xf numFmtId="167" fontId="4" fillId="0" borderId="18" xfId="74" applyNumberFormat="1" applyFont="1" applyBorder="1" applyAlignment="1" applyProtection="1">
      <alignment horizontal="center" vertical="center"/>
      <protection locked="0"/>
    </xf>
    <xf numFmtId="167" fontId="1" fillId="0" borderId="0" xfId="74" applyNumberFormat="1" applyFont="1" applyProtection="1">
      <protection locked="0"/>
    </xf>
    <xf numFmtId="0" fontId="4" fillId="0" borderId="10" xfId="74" applyFont="1" applyBorder="1" applyAlignment="1" applyProtection="1">
      <alignment horizontal="center" vertical="center"/>
      <protection locked="0"/>
    </xf>
    <xf numFmtId="0" fontId="1" fillId="0" borderId="0" xfId="74" applyFont="1" applyFill="1" applyProtection="1">
      <protection locked="0"/>
    </xf>
    <xf numFmtId="0" fontId="1" fillId="0" borderId="0" xfId="74" applyFont="1" applyFill="1" applyAlignment="1" applyProtection="1">
      <alignment vertical="center"/>
      <protection locked="0"/>
    </xf>
    <xf numFmtId="0" fontId="1" fillId="0" borderId="0" xfId="1" applyFill="1" applyBorder="1" applyAlignment="1" applyProtection="1">
      <alignment horizontal="center"/>
      <protection locked="0"/>
    </xf>
    <xf numFmtId="0" fontId="1" fillId="0" borderId="0" xfId="1" applyFill="1" applyProtection="1">
      <protection locked="0"/>
    </xf>
    <xf numFmtId="0" fontId="51" fillId="0" borderId="0" xfId="1" applyFont="1" applyFill="1" applyBorder="1" applyAlignment="1" applyProtection="1">
      <alignment horizontal="center" vertical="center" wrapText="1"/>
      <protection locked="0"/>
    </xf>
    <xf numFmtId="0" fontId="4" fillId="0" borderId="0" xfId="1" applyFont="1" applyFill="1" applyBorder="1" applyAlignment="1" applyProtection="1">
      <alignment horizontal="center"/>
      <protection locked="0"/>
    </xf>
    <xf numFmtId="0" fontId="4" fillId="0" borderId="0" xfId="1" applyFont="1" applyFill="1" applyProtection="1">
      <protection locked="0"/>
    </xf>
    <xf numFmtId="0" fontId="132" fillId="0" borderId="0" xfId="1" applyFont="1" applyProtection="1">
      <protection locked="0"/>
    </xf>
    <xf numFmtId="0" fontId="4" fillId="27" borderId="0" xfId="1" applyFont="1" applyFill="1" applyBorder="1" applyAlignment="1" applyProtection="1">
      <alignment horizontal="left" vertical="center"/>
      <protection locked="0"/>
    </xf>
    <xf numFmtId="0" fontId="4" fillId="27" borderId="19" xfId="1" applyFont="1" applyFill="1" applyBorder="1" applyAlignment="1" applyProtection="1">
      <alignment horizontal="left" vertical="center"/>
      <protection locked="0"/>
    </xf>
    <xf numFmtId="0" fontId="1" fillId="0" borderId="0" xfId="1" applyFill="1" applyAlignment="1" applyProtection="1">
      <alignment vertical="center"/>
      <protection locked="0"/>
    </xf>
    <xf numFmtId="0" fontId="1" fillId="0" borderId="0" xfId="1" applyAlignment="1" applyProtection="1">
      <alignment vertical="center"/>
      <protection locked="0"/>
    </xf>
    <xf numFmtId="0" fontId="66" fillId="0" borderId="0" xfId="1" applyFont="1" applyFill="1" applyAlignment="1" applyProtection="1">
      <alignment vertical="center"/>
      <protection locked="0"/>
    </xf>
    <xf numFmtId="0" fontId="67" fillId="2" borderId="0" xfId="150" applyFont="1" applyFill="1" applyAlignment="1" applyProtection="1">
      <alignment horizontal="centerContinuous"/>
      <protection locked="0"/>
    </xf>
    <xf numFmtId="0" fontId="67" fillId="2" borderId="0" xfId="150" applyFont="1" applyFill="1" applyAlignment="1" applyProtection="1">
      <protection locked="0"/>
    </xf>
    <xf numFmtId="0" fontId="67" fillId="2" borderId="0" xfId="150" applyFont="1" applyFill="1" applyProtection="1">
      <protection locked="0"/>
    </xf>
    <xf numFmtId="0" fontId="68" fillId="2" borderId="0" xfId="150" applyFont="1" applyFill="1" applyAlignment="1" applyProtection="1">
      <alignment horizontal="center"/>
      <protection locked="0"/>
    </xf>
    <xf numFmtId="0" fontId="69" fillId="2" borderId="0" xfId="150" applyFont="1" applyFill="1" applyBorder="1" applyAlignment="1" applyProtection="1">
      <protection locked="0"/>
    </xf>
    <xf numFmtId="0" fontId="67" fillId="2" borderId="0" xfId="150" applyFill="1" applyProtection="1">
      <protection locked="0"/>
    </xf>
    <xf numFmtId="0" fontId="67" fillId="2" borderId="0" xfId="150" applyFont="1" applyFill="1" applyAlignment="1" applyProtection="1">
      <alignment horizontal="centerContinuous" vertical="top"/>
      <protection locked="0"/>
    </xf>
    <xf numFmtId="0" fontId="67" fillId="2" borderId="0" xfId="150" applyFont="1" applyFill="1" applyAlignment="1" applyProtection="1">
      <alignment vertical="top"/>
      <protection locked="0"/>
    </xf>
    <xf numFmtId="0" fontId="68" fillId="2" borderId="0" xfId="150" applyFont="1" applyFill="1" applyAlignment="1" applyProtection="1">
      <alignment horizontal="center" vertical="top"/>
      <protection locked="0"/>
    </xf>
    <xf numFmtId="0" fontId="69" fillId="2" borderId="0" xfId="150" applyFont="1" applyFill="1" applyBorder="1" applyAlignment="1" applyProtection="1">
      <alignment vertical="top"/>
      <protection locked="0"/>
    </xf>
    <xf numFmtId="0" fontId="67" fillId="2" borderId="0" xfId="150" applyFill="1" applyAlignment="1" applyProtection="1">
      <alignment vertical="top"/>
      <protection locked="0"/>
    </xf>
    <xf numFmtId="0" fontId="70" fillId="2" borderId="0" xfId="150" applyFont="1" applyFill="1" applyAlignment="1" applyProtection="1">
      <alignment horizontal="centerContinuous"/>
      <protection locked="0"/>
    </xf>
    <xf numFmtId="0" fontId="71" fillId="2" borderId="0" xfId="150" applyFont="1" applyFill="1" applyAlignment="1" applyProtection="1">
      <alignment horizontal="centerContinuous"/>
      <protection locked="0"/>
    </xf>
    <xf numFmtId="0" fontId="67" fillId="2" borderId="0" xfId="150" applyFill="1" applyBorder="1" applyProtection="1">
      <protection locked="0"/>
    </xf>
    <xf numFmtId="0" fontId="70" fillId="2" borderId="0" xfId="150" applyNumberFormat="1" applyFont="1" applyFill="1" applyBorder="1" applyAlignment="1" applyProtection="1">
      <alignment horizontal="center"/>
      <protection locked="0"/>
    </xf>
    <xf numFmtId="0" fontId="73" fillId="0" borderId="0" xfId="150" applyFont="1" applyFill="1" applyBorder="1" applyAlignment="1" applyProtection="1">
      <alignment horizontal="center"/>
      <protection locked="0"/>
    </xf>
    <xf numFmtId="2" fontId="73" fillId="2" borderId="0" xfId="150" applyNumberFormat="1" applyFont="1" applyFill="1" applyBorder="1" applyAlignment="1" applyProtection="1">
      <alignment horizontal="center"/>
      <protection locked="0"/>
    </xf>
    <xf numFmtId="0" fontId="70" fillId="2" borderId="0" xfId="150" applyFont="1" applyFill="1" applyBorder="1" applyAlignment="1" applyProtection="1">
      <alignment horizontal="left"/>
      <protection locked="0"/>
    </xf>
    <xf numFmtId="0" fontId="70" fillId="2" borderId="0" xfId="150" applyFont="1" applyFill="1" applyBorder="1" applyAlignment="1" applyProtection="1">
      <alignment horizontal="center"/>
      <protection locked="0"/>
    </xf>
    <xf numFmtId="0" fontId="67" fillId="2" borderId="0" xfId="150" applyFill="1" applyBorder="1" applyAlignment="1" applyProtection="1">
      <alignment horizontal="centerContinuous"/>
      <protection locked="0"/>
    </xf>
    <xf numFmtId="0" fontId="74" fillId="31" borderId="0" xfId="150" applyFont="1" applyFill="1" applyBorder="1" applyAlignment="1" applyProtection="1">
      <alignment vertical="center" wrapText="1"/>
      <protection locked="0"/>
    </xf>
    <xf numFmtId="0" fontId="75" fillId="2" borderId="0" xfId="150" applyFont="1" applyFill="1" applyBorder="1" applyProtection="1">
      <protection locked="0"/>
    </xf>
    <xf numFmtId="0" fontId="69" fillId="2" borderId="0" xfId="150" applyFont="1" applyFill="1" applyBorder="1" applyAlignment="1" applyProtection="1">
      <alignment horizontal="center"/>
      <protection locked="0"/>
    </xf>
    <xf numFmtId="0" fontId="67" fillId="2" borderId="0" xfId="150" applyFill="1" applyBorder="1" applyAlignment="1" applyProtection="1">
      <alignment horizontal="center"/>
      <protection locked="0"/>
    </xf>
    <xf numFmtId="0" fontId="77" fillId="2" borderId="0" xfId="150" applyFont="1" applyFill="1" applyBorder="1" applyAlignment="1" applyProtection="1">
      <protection locked="0"/>
    </xf>
    <xf numFmtId="0" fontId="76" fillId="2" borderId="0" xfId="150" applyFont="1" applyFill="1" applyBorder="1" applyProtection="1">
      <protection locked="0"/>
    </xf>
    <xf numFmtId="0" fontId="67" fillId="2" borderId="0" xfId="150" quotePrefix="1" applyFill="1" applyBorder="1" applyAlignment="1" applyProtection="1">
      <alignment horizontal="center"/>
      <protection locked="0"/>
    </xf>
    <xf numFmtId="0" fontId="73" fillId="2" borderId="0" xfId="150" applyFont="1" applyFill="1" applyBorder="1" applyAlignment="1" applyProtection="1">
      <alignment horizontal="center"/>
      <protection locked="0"/>
    </xf>
    <xf numFmtId="2" fontId="67" fillId="2" borderId="0" xfId="150" applyNumberFormat="1" applyFill="1" applyBorder="1" applyAlignment="1" applyProtection="1">
      <alignment horizontal="center"/>
      <protection locked="0"/>
    </xf>
    <xf numFmtId="167" fontId="67" fillId="2" borderId="0" xfId="150" applyNumberFormat="1" applyFill="1" applyBorder="1" applyAlignment="1" applyProtection="1">
      <alignment horizontal="center"/>
      <protection locked="0"/>
    </xf>
    <xf numFmtId="167" fontId="73" fillId="32" borderId="0" xfId="150" applyNumberFormat="1" applyFont="1" applyFill="1" applyBorder="1" applyAlignment="1" applyProtection="1">
      <alignment horizontal="center"/>
      <protection locked="0"/>
    </xf>
    <xf numFmtId="167" fontId="83" fillId="2" borderId="0" xfId="150" applyNumberFormat="1" applyFont="1" applyFill="1" applyBorder="1" applyAlignment="1" applyProtection="1">
      <alignment horizontal="center"/>
      <protection locked="0"/>
    </xf>
    <xf numFmtId="0" fontId="67" fillId="2" borderId="0" xfId="150" applyFont="1" applyFill="1" applyBorder="1" applyProtection="1">
      <protection locked="0"/>
    </xf>
    <xf numFmtId="167" fontId="67" fillId="2" borderId="0" xfId="150" applyNumberFormat="1" applyFont="1" applyFill="1" applyBorder="1" applyAlignment="1" applyProtection="1">
      <alignment horizontal="center"/>
      <protection locked="0"/>
    </xf>
    <xf numFmtId="0" fontId="84" fillId="2" borderId="0" xfId="150" applyFont="1" applyFill="1" applyBorder="1" applyProtection="1">
      <protection locked="0"/>
    </xf>
    <xf numFmtId="1" fontId="85" fillId="2" borderId="0" xfId="150" applyNumberFormat="1" applyFont="1" applyFill="1" applyBorder="1" applyAlignment="1" applyProtection="1">
      <alignment horizontal="centerContinuous"/>
      <protection locked="0"/>
    </xf>
    <xf numFmtId="167" fontId="73" fillId="2" borderId="0" xfId="150" applyNumberFormat="1" applyFont="1" applyFill="1" applyBorder="1" applyAlignment="1" applyProtection="1">
      <alignment horizontal="right"/>
      <protection locked="0"/>
    </xf>
    <xf numFmtId="0" fontId="73" fillId="2" borderId="0" xfId="150" applyFont="1" applyFill="1" applyBorder="1" applyAlignment="1" applyProtection="1">
      <alignment horizontal="left"/>
      <protection locked="0"/>
    </xf>
    <xf numFmtId="1" fontId="85" fillId="2" borderId="0" xfId="150" applyNumberFormat="1" applyFont="1" applyFill="1" applyBorder="1" applyAlignment="1" applyProtection="1">
      <alignment horizontal="center"/>
      <protection locked="0"/>
    </xf>
    <xf numFmtId="0" fontId="87" fillId="2" borderId="0" xfId="150" applyFont="1" applyFill="1" applyBorder="1" applyProtection="1">
      <protection locked="0"/>
    </xf>
    <xf numFmtId="0" fontId="88" fillId="2" borderId="0" xfId="150" applyFont="1" applyFill="1" applyBorder="1" applyAlignment="1" applyProtection="1">
      <alignment horizontal="centerContinuous"/>
      <protection locked="0"/>
    </xf>
    <xf numFmtId="0" fontId="88" fillId="2" borderId="0" xfId="150" applyFont="1" applyFill="1" applyBorder="1" applyProtection="1">
      <protection locked="0"/>
    </xf>
    <xf numFmtId="0" fontId="65" fillId="2" borderId="0" xfId="150" applyFont="1" applyFill="1" applyBorder="1" applyAlignment="1" applyProtection="1">
      <alignment horizontal="center"/>
      <protection locked="0"/>
    </xf>
    <xf numFmtId="173" fontId="67" fillId="2" borderId="0" xfId="150" applyNumberFormat="1" applyFill="1" applyBorder="1" applyAlignment="1" applyProtection="1">
      <alignment horizontal="center"/>
      <protection locked="0"/>
    </xf>
    <xf numFmtId="167" fontId="67" fillId="2" borderId="0" xfId="150" applyNumberFormat="1" applyFill="1" applyProtection="1">
      <protection locked="0"/>
    </xf>
    <xf numFmtId="0" fontId="75" fillId="2" borderId="0" xfId="150" applyFont="1" applyFill="1" applyBorder="1" applyAlignment="1" applyProtection="1">
      <protection locked="0"/>
    </xf>
    <xf numFmtId="0" fontId="3" fillId="27" borderId="0" xfId="71" applyFont="1" applyFill="1" applyBorder="1" applyAlignment="1" applyProtection="1">
      <alignment vertical="center"/>
      <protection locked="0"/>
    </xf>
    <xf numFmtId="0" fontId="75" fillId="25" borderId="0" xfId="150" applyFont="1" applyFill="1" applyBorder="1" applyAlignment="1" applyProtection="1">
      <protection locked="0"/>
    </xf>
    <xf numFmtId="0" fontId="1" fillId="2" borderId="37" xfId="150" applyFont="1" applyFill="1" applyBorder="1" applyAlignment="1" applyProtection="1">
      <alignment horizontal="left"/>
    </xf>
    <xf numFmtId="0" fontId="1" fillId="2" borderId="39" xfId="150" applyFont="1" applyFill="1" applyBorder="1" applyAlignment="1" applyProtection="1">
      <alignment horizontal="left"/>
    </xf>
    <xf numFmtId="0" fontId="1" fillId="2" borderId="38" xfId="150" applyFont="1" applyFill="1" applyBorder="1" applyAlignment="1" applyProtection="1">
      <alignment horizontal="center"/>
    </xf>
    <xf numFmtId="0" fontId="1" fillId="2" borderId="41" xfId="150" applyFont="1" applyFill="1" applyBorder="1" applyAlignment="1" applyProtection="1">
      <alignment horizontal="center"/>
    </xf>
    <xf numFmtId="167" fontId="129" fillId="0" borderId="39" xfId="150" applyNumberFormat="1" applyFont="1" applyFill="1" applyBorder="1" applyAlignment="1" applyProtection="1">
      <alignment horizontal="center"/>
    </xf>
    <xf numFmtId="167" fontId="129" fillId="0" borderId="40" xfId="150" applyNumberFormat="1" applyFont="1" applyFill="1" applyBorder="1" applyAlignment="1" applyProtection="1">
      <alignment horizontal="center"/>
    </xf>
    <xf numFmtId="167" fontId="129" fillId="0" borderId="41" xfId="150" applyNumberFormat="1" applyFont="1" applyFill="1" applyBorder="1" applyAlignment="1" applyProtection="1">
      <alignment horizontal="center"/>
    </xf>
    <xf numFmtId="1" fontId="1" fillId="2" borderId="35" xfId="150" applyNumberFormat="1" applyFont="1" applyFill="1" applyBorder="1" applyAlignment="1" applyProtection="1">
      <alignment horizontal="center" vertical="center"/>
    </xf>
    <xf numFmtId="1" fontId="1" fillId="2" borderId="0" xfId="150" applyNumberFormat="1" applyFont="1" applyFill="1" applyBorder="1" applyAlignment="1" applyProtection="1">
      <alignment horizontal="center" vertical="center"/>
    </xf>
    <xf numFmtId="167" fontId="1" fillId="27" borderId="36" xfId="150" applyNumberFormat="1" applyFont="1" applyFill="1" applyBorder="1" applyAlignment="1" applyProtection="1">
      <alignment horizontal="left" vertical="center"/>
    </xf>
    <xf numFmtId="0" fontId="1" fillId="27" borderId="38" xfId="150" applyFont="1" applyFill="1" applyBorder="1" applyAlignment="1" applyProtection="1">
      <alignment horizontal="left" vertical="center"/>
    </xf>
    <xf numFmtId="173" fontId="1" fillId="2" borderId="41" xfId="150" applyNumberFormat="1" applyFont="1" applyFill="1" applyBorder="1" applyAlignment="1" applyProtection="1">
      <alignment horizontal="left" vertical="center"/>
    </xf>
    <xf numFmtId="0" fontId="67" fillId="2" borderId="0" xfId="210" applyFill="1" applyProtection="1">
      <protection locked="0"/>
    </xf>
    <xf numFmtId="2" fontId="67" fillId="2" borderId="0" xfId="210" applyNumberFormat="1" applyFill="1" applyBorder="1" applyProtection="1">
      <protection locked="0"/>
    </xf>
    <xf numFmtId="0" fontId="67" fillId="2" borderId="0" xfId="210" applyFill="1" applyBorder="1" applyProtection="1">
      <protection locked="0"/>
    </xf>
    <xf numFmtId="0" fontId="72" fillId="2" borderId="0" xfId="210" applyFont="1" applyFill="1" applyBorder="1" applyAlignment="1" applyProtection="1">
      <alignment horizontal="centerContinuous"/>
      <protection locked="0"/>
    </xf>
    <xf numFmtId="0" fontId="76" fillId="2" borderId="0" xfId="210" applyFont="1" applyFill="1" applyBorder="1" applyAlignment="1" applyProtection="1">
      <alignment horizontal="center"/>
      <protection locked="0"/>
    </xf>
    <xf numFmtId="167" fontId="76" fillId="2" borderId="0" xfId="210" applyNumberFormat="1" applyFont="1" applyFill="1" applyBorder="1" applyAlignment="1" applyProtection="1">
      <alignment horizontal="center"/>
      <protection locked="0"/>
    </xf>
    <xf numFmtId="187" fontId="76" fillId="2" borderId="0" xfId="210" applyNumberFormat="1" applyFont="1" applyFill="1" applyBorder="1" applyAlignment="1" applyProtection="1">
      <alignment horizontal="center"/>
      <protection locked="0"/>
    </xf>
    <xf numFmtId="0" fontId="73" fillId="2" borderId="0" xfId="210" applyFont="1" applyFill="1" applyBorder="1" applyAlignment="1" applyProtection="1">
      <alignment horizontal="left"/>
      <protection locked="0"/>
    </xf>
    <xf numFmtId="0" fontId="77" fillId="2" borderId="0" xfId="210" applyFont="1" applyFill="1" applyBorder="1" applyAlignment="1" applyProtection="1">
      <alignment horizontal="left"/>
      <protection locked="0"/>
    </xf>
    <xf numFmtId="0" fontId="73" fillId="2" borderId="0" xfId="210" applyFont="1" applyFill="1" applyBorder="1" applyAlignment="1" applyProtection="1">
      <alignment horizontal="center"/>
      <protection locked="0"/>
    </xf>
    <xf numFmtId="9" fontId="70" fillId="2" borderId="0" xfId="210" applyNumberFormat="1" applyFont="1" applyFill="1" applyBorder="1" applyAlignment="1" applyProtection="1">
      <alignment horizontal="center"/>
      <protection locked="0"/>
    </xf>
    <xf numFmtId="0" fontId="4" fillId="27" borderId="15" xfId="210" applyFont="1" applyFill="1" applyBorder="1" applyAlignment="1" applyProtection="1">
      <alignment horizontal="center" vertical="center"/>
    </xf>
    <xf numFmtId="0" fontId="1" fillId="0" borderId="0" xfId="208" applyProtection="1">
      <protection locked="0"/>
    </xf>
    <xf numFmtId="0" fontId="4" fillId="0" borderId="0" xfId="208" applyFont="1" applyProtection="1">
      <protection locked="0"/>
    </xf>
    <xf numFmtId="168" fontId="4" fillId="27" borderId="0" xfId="208" applyNumberFormat="1" applyFont="1" applyFill="1" applyBorder="1" applyAlignment="1" applyProtection="1">
      <alignment vertical="top"/>
      <protection locked="0"/>
    </xf>
    <xf numFmtId="0" fontId="4" fillId="0" borderId="0" xfId="208" applyFont="1" applyBorder="1" applyProtection="1">
      <protection locked="0"/>
    </xf>
    <xf numFmtId="0" fontId="2" fillId="0" borderId="42" xfId="208" applyFont="1" applyBorder="1" applyAlignment="1" applyProtection="1">
      <alignment horizontal="center" vertical="center" wrapText="1"/>
      <protection locked="0"/>
    </xf>
    <xf numFmtId="0" fontId="3" fillId="0" borderId="0" xfId="208" applyFont="1" applyFill="1" applyBorder="1" applyAlignment="1" applyProtection="1">
      <protection locked="0"/>
    </xf>
    <xf numFmtId="0" fontId="1" fillId="0" borderId="0" xfId="208" applyFill="1" applyBorder="1" applyProtection="1">
      <protection locked="0"/>
    </xf>
    <xf numFmtId="0" fontId="1" fillId="0" borderId="0" xfId="208" applyFont="1" applyProtection="1">
      <protection locked="0"/>
    </xf>
    <xf numFmtId="167" fontId="2" fillId="0" borderId="0" xfId="208" applyNumberFormat="1" applyFont="1" applyBorder="1" applyAlignment="1" applyProtection="1">
      <alignment horizontal="center" vertical="center" wrapText="1"/>
      <protection locked="0"/>
    </xf>
    <xf numFmtId="0" fontId="2" fillId="0" borderId="32" xfId="208" applyFont="1" applyFill="1" applyBorder="1" applyAlignment="1" applyProtection="1">
      <alignment vertical="center"/>
      <protection locked="0"/>
    </xf>
    <xf numFmtId="0" fontId="2" fillId="0" borderId="42" xfId="208" applyFont="1" applyFill="1" applyBorder="1" applyAlignment="1" applyProtection="1">
      <alignment vertical="center"/>
      <protection locked="0"/>
    </xf>
    <xf numFmtId="0" fontId="2" fillId="0" borderId="35" xfId="208" applyFont="1" applyBorder="1" applyAlignment="1" applyProtection="1">
      <alignment vertical="center"/>
      <protection locked="0"/>
    </xf>
    <xf numFmtId="0" fontId="2" fillId="0" borderId="34" xfId="208" applyFont="1" applyFill="1" applyBorder="1" applyAlignment="1" applyProtection="1">
      <alignment vertical="center"/>
      <protection locked="0"/>
    </xf>
    <xf numFmtId="0" fontId="2" fillId="0" borderId="35" xfId="208" applyFont="1" applyFill="1" applyBorder="1" applyAlignment="1" applyProtection="1">
      <alignment vertical="center"/>
      <protection locked="0"/>
    </xf>
    <xf numFmtId="0" fontId="1" fillId="0" borderId="0" xfId="208" applyBorder="1" applyProtection="1">
      <protection locked="0"/>
    </xf>
    <xf numFmtId="0" fontId="1" fillId="0" borderId="0" xfId="208" applyFont="1" applyBorder="1" applyProtection="1">
      <protection locked="0"/>
    </xf>
    <xf numFmtId="1" fontId="43" fillId="2" borderId="0" xfId="208" applyNumberFormat="1" applyFont="1" applyFill="1" applyBorder="1" applyAlignment="1" applyProtection="1">
      <alignment vertical="center"/>
      <protection locked="0"/>
    </xf>
    <xf numFmtId="0" fontId="59" fillId="27" borderId="0" xfId="208" applyFont="1" applyFill="1" applyAlignment="1" applyProtection="1">
      <alignment horizontal="left" vertical="top" wrapText="1"/>
      <protection locked="0"/>
    </xf>
    <xf numFmtId="0" fontId="1" fillId="27" borderId="0" xfId="208" applyFill="1" applyProtection="1">
      <protection locked="0"/>
    </xf>
    <xf numFmtId="0" fontId="3" fillId="25" borderId="0" xfId="68" applyFont="1" applyFill="1" applyBorder="1" applyAlignment="1" applyProtection="1">
      <alignment vertical="center"/>
      <protection locked="0"/>
    </xf>
    <xf numFmtId="0" fontId="1" fillId="0" borderId="0" xfId="21" applyFont="1" applyFill="1" applyBorder="1" applyAlignment="1" applyProtection="1">
      <alignment vertical="center"/>
      <protection locked="0"/>
    </xf>
    <xf numFmtId="0" fontId="1" fillId="0" borderId="0" xfId="208" applyFill="1" applyAlignment="1" applyProtection="1">
      <alignment vertical="center"/>
      <protection locked="0"/>
    </xf>
    <xf numFmtId="0" fontId="1" fillId="0" borderId="0" xfId="208" applyAlignment="1" applyProtection="1">
      <alignment vertical="center"/>
      <protection locked="0"/>
    </xf>
    <xf numFmtId="167" fontId="2" fillId="27" borderId="170" xfId="208" applyNumberFormat="1" applyFont="1" applyFill="1" applyBorder="1" applyAlignment="1" applyProtection="1">
      <alignment horizontal="center" vertical="center" wrapText="1"/>
    </xf>
    <xf numFmtId="0" fontId="4" fillId="0" borderId="0" xfId="208" applyFont="1" applyBorder="1" applyAlignment="1" applyProtection="1">
      <alignment horizontal="left"/>
      <protection locked="0"/>
    </xf>
    <xf numFmtId="0" fontId="110" fillId="2" borderId="0" xfId="427" applyFont="1" applyFill="1" applyAlignment="1" applyProtection="1">
      <protection locked="0"/>
    </xf>
    <xf numFmtId="0" fontId="110" fillId="2" borderId="0" xfId="427" applyFont="1" applyFill="1" applyAlignment="1" applyProtection="1">
      <alignment vertical="center"/>
      <protection locked="0"/>
    </xf>
    <xf numFmtId="0" fontId="110" fillId="2" borderId="0" xfId="427" applyFont="1" applyFill="1" applyProtection="1">
      <protection locked="0"/>
    </xf>
    <xf numFmtId="0" fontId="110" fillId="2" borderId="0" xfId="427" applyFont="1" applyFill="1" applyAlignment="1" applyProtection="1">
      <alignment wrapText="1"/>
      <protection locked="0"/>
    </xf>
    <xf numFmtId="0" fontId="125" fillId="36" borderId="57" xfId="295" applyFont="1" applyFill="1" applyBorder="1" applyAlignment="1" applyProtection="1">
      <alignment horizontal="center" vertical="center"/>
      <protection locked="0"/>
    </xf>
    <xf numFmtId="0" fontId="125" fillId="36" borderId="20" xfId="295" applyFont="1" applyFill="1" applyBorder="1" applyAlignment="1" applyProtection="1">
      <alignment horizontal="center" vertical="center"/>
      <protection locked="0"/>
    </xf>
    <xf numFmtId="0" fontId="110" fillId="0" borderId="0" xfId="429" applyFont="1" applyProtection="1">
      <protection locked="0"/>
    </xf>
    <xf numFmtId="0" fontId="150" fillId="36" borderId="13" xfId="295" applyFont="1" applyFill="1" applyBorder="1" applyAlignment="1" applyProtection="1">
      <alignment vertical="center"/>
      <protection locked="0"/>
    </xf>
    <xf numFmtId="0" fontId="151" fillId="36" borderId="0" xfId="431" applyFont="1" applyFill="1" applyBorder="1" applyAlignment="1" applyProtection="1">
      <alignment horizontal="center" vertical="center"/>
      <protection locked="0"/>
    </xf>
    <xf numFmtId="167" fontId="150" fillId="0" borderId="0" xfId="429" applyNumberFormat="1" applyFont="1" applyBorder="1" applyAlignment="1" applyProtection="1">
      <alignment vertical="center"/>
      <protection locked="0"/>
    </xf>
    <xf numFmtId="0" fontId="150" fillId="2" borderId="0" xfId="427" applyFont="1" applyFill="1" applyAlignment="1" applyProtection="1">
      <alignment vertical="center"/>
      <protection locked="0"/>
    </xf>
    <xf numFmtId="0" fontId="110" fillId="0" borderId="0" xfId="429" applyFont="1" applyAlignment="1" applyProtection="1">
      <alignment vertical="center"/>
      <protection locked="0"/>
    </xf>
    <xf numFmtId="2" fontId="110" fillId="2" borderId="0" xfId="427" applyNumberFormat="1" applyFont="1" applyFill="1" applyAlignment="1" applyProtection="1">
      <protection locked="0"/>
    </xf>
    <xf numFmtId="0" fontId="110" fillId="0" borderId="0" xfId="429" applyFont="1" applyAlignment="1" applyProtection="1">
      <alignment horizontal="center" vertical="center"/>
      <protection locked="0"/>
    </xf>
    <xf numFmtId="2" fontId="110" fillId="0" borderId="0" xfId="429" applyNumberFormat="1" applyFont="1" applyAlignment="1" applyProtection="1">
      <alignment vertical="center"/>
      <protection locked="0"/>
    </xf>
    <xf numFmtId="173" fontId="110" fillId="0" borderId="0" xfId="429" applyNumberFormat="1" applyFont="1" applyAlignment="1" applyProtection="1">
      <alignment horizontal="center" vertical="center"/>
      <protection locked="0"/>
    </xf>
    <xf numFmtId="173" fontId="110" fillId="0" borderId="0" xfId="429" applyNumberFormat="1" applyFont="1" applyAlignment="1" applyProtection="1">
      <alignment vertical="center"/>
      <protection locked="0"/>
    </xf>
    <xf numFmtId="0" fontId="1" fillId="27" borderId="0" xfId="208" applyFill="1" applyBorder="1" applyAlignment="1" applyProtection="1">
      <protection locked="0"/>
    </xf>
    <xf numFmtId="0" fontId="1" fillId="27" borderId="0" xfId="208" applyFill="1" applyBorder="1" applyAlignment="1" applyProtection="1">
      <alignment horizontal="center"/>
      <protection locked="0"/>
    </xf>
    <xf numFmtId="0" fontId="1" fillId="27" borderId="0" xfId="208" applyFill="1" applyBorder="1" applyProtection="1">
      <protection locked="0"/>
    </xf>
    <xf numFmtId="0" fontId="105" fillId="27" borderId="0" xfId="295" applyFont="1" applyFill="1" applyBorder="1" applyAlignment="1" applyProtection="1">
      <alignment vertical="center" wrapText="1"/>
      <protection locked="0"/>
    </xf>
    <xf numFmtId="0" fontId="3" fillId="27" borderId="0" xfId="208" applyFont="1" applyFill="1" applyBorder="1" applyAlignment="1" applyProtection="1">
      <alignment vertical="center" wrapText="1"/>
      <protection locked="0"/>
    </xf>
    <xf numFmtId="0" fontId="3" fillId="27" borderId="0" xfId="208" applyFont="1" applyFill="1" applyBorder="1" applyAlignment="1" applyProtection="1">
      <alignment horizontal="center" vertical="center" wrapText="1"/>
      <protection locked="0"/>
    </xf>
    <xf numFmtId="0" fontId="4" fillId="27" borderId="0" xfId="208" applyFont="1" applyFill="1" applyBorder="1" applyAlignment="1" applyProtection="1">
      <protection locked="0"/>
    </xf>
    <xf numFmtId="0" fontId="4" fillId="27" borderId="0" xfId="208" applyFont="1" applyFill="1" applyBorder="1" applyAlignment="1" applyProtection="1">
      <alignment horizontal="center"/>
      <protection locked="0"/>
    </xf>
    <xf numFmtId="168" fontId="4" fillId="27" borderId="0" xfId="71" applyNumberFormat="1" applyFont="1" applyFill="1" applyBorder="1" applyAlignment="1" applyProtection="1">
      <alignment horizontal="left" vertical="center"/>
      <protection locked="0"/>
    </xf>
    <xf numFmtId="0" fontId="1" fillId="27" borderId="0" xfId="208" applyFill="1" applyBorder="1" applyAlignment="1" applyProtection="1">
      <alignment vertical="top"/>
      <protection locked="0"/>
    </xf>
    <xf numFmtId="0" fontId="1" fillId="27" borderId="0" xfId="208" applyFill="1" applyBorder="1" applyAlignment="1" applyProtection="1">
      <alignment horizontal="left" vertical="top"/>
      <protection locked="0"/>
    </xf>
    <xf numFmtId="1" fontId="1" fillId="27" borderId="0" xfId="208" applyNumberFormat="1" applyFill="1" applyBorder="1" applyProtection="1">
      <protection locked="0"/>
    </xf>
    <xf numFmtId="167" fontId="1" fillId="27" borderId="0" xfId="208" applyNumberFormat="1" applyFill="1" applyBorder="1" applyProtection="1">
      <protection locked="0"/>
    </xf>
    <xf numFmtId="2" fontId="1" fillId="27" borderId="0" xfId="208" applyNumberFormat="1" applyFill="1" applyBorder="1" applyProtection="1">
      <protection locked="0"/>
    </xf>
    <xf numFmtId="0" fontId="1" fillId="0" borderId="0" xfId="208" applyFill="1" applyBorder="1" applyAlignment="1" applyProtection="1">
      <alignment vertical="top"/>
      <protection locked="0"/>
    </xf>
    <xf numFmtId="0" fontId="1" fillId="0" borderId="0" xfId="208" applyFill="1" applyBorder="1" applyAlignment="1" applyProtection="1">
      <alignment horizontal="left" vertical="top"/>
      <protection locked="0"/>
    </xf>
    <xf numFmtId="0" fontId="1" fillId="34" borderId="0" xfId="208" applyFill="1" applyBorder="1" applyAlignment="1" applyProtection="1">
      <alignment horizontal="left" vertical="top"/>
      <protection locked="0"/>
    </xf>
    <xf numFmtId="0" fontId="1" fillId="0" borderId="0" xfId="208" applyFill="1" applyBorder="1" applyAlignment="1" applyProtection="1">
      <alignment vertical="center"/>
      <protection locked="0"/>
    </xf>
    <xf numFmtId="0" fontId="1" fillId="0" borderId="0" xfId="208" applyFill="1" applyBorder="1" applyAlignment="1" applyProtection="1">
      <alignment horizontal="left" vertical="center"/>
      <protection locked="0"/>
    </xf>
    <xf numFmtId="0" fontId="1" fillId="34" borderId="0" xfId="208" applyFill="1" applyBorder="1" applyAlignment="1" applyProtection="1">
      <alignment horizontal="left" vertical="center"/>
      <protection locked="0"/>
    </xf>
    <xf numFmtId="0" fontId="1" fillId="0" borderId="0" xfId="208" applyFont="1" applyAlignment="1" applyProtection="1">
      <alignment vertical="center"/>
      <protection locked="0"/>
    </xf>
    <xf numFmtId="0" fontId="1" fillId="0" borderId="0" xfId="208" applyFill="1" applyBorder="1" applyAlignment="1" applyProtection="1">
      <alignment vertical="top" wrapText="1"/>
      <protection locked="0"/>
    </xf>
    <xf numFmtId="0" fontId="1" fillId="0" borderId="0" xfId="208" applyFill="1" applyBorder="1" applyAlignment="1" applyProtection="1">
      <alignment horizontal="left" vertical="top" wrapText="1"/>
      <protection locked="0"/>
    </xf>
    <xf numFmtId="0" fontId="1" fillId="34" borderId="0" xfId="208" applyFill="1" applyBorder="1" applyAlignment="1" applyProtection="1">
      <alignment horizontal="left" vertical="top" wrapText="1"/>
      <protection locked="0"/>
    </xf>
    <xf numFmtId="0" fontId="1" fillId="0" borderId="0" xfId="208" applyAlignment="1" applyProtection="1">
      <alignment wrapText="1"/>
      <protection locked="0"/>
    </xf>
    <xf numFmtId="0" fontId="1" fillId="0" borderId="0" xfId="208" applyFill="1" applyProtection="1">
      <protection locked="0"/>
    </xf>
    <xf numFmtId="0" fontId="1" fillId="34" borderId="0" xfId="208" applyFill="1" applyBorder="1" applyProtection="1">
      <protection locked="0"/>
    </xf>
    <xf numFmtId="0" fontId="1" fillId="34" borderId="0" xfId="208" applyFill="1" applyProtection="1">
      <protection locked="0"/>
    </xf>
    <xf numFmtId="0" fontId="1" fillId="0" borderId="0" xfId="208" applyFill="1" applyBorder="1" applyAlignment="1" applyProtection="1">
      <protection locked="0"/>
    </xf>
    <xf numFmtId="0" fontId="1" fillId="34" borderId="0" xfId="208" applyFill="1" applyBorder="1" applyAlignment="1" applyProtection="1">
      <protection locked="0"/>
    </xf>
    <xf numFmtId="0" fontId="1" fillId="0" borderId="0" xfId="208" applyBorder="1" applyAlignment="1" applyProtection="1">
      <alignment vertical="center" wrapText="1"/>
      <protection locked="0"/>
    </xf>
    <xf numFmtId="0" fontId="1" fillId="34" borderId="0" xfId="208" applyFill="1" applyBorder="1" applyAlignment="1" applyProtection="1">
      <alignment vertical="center" wrapText="1"/>
      <protection locked="0"/>
    </xf>
    <xf numFmtId="0" fontId="1" fillId="0" borderId="0" xfId="208" applyAlignment="1" applyProtection="1">
      <alignment vertical="center" wrapText="1"/>
      <protection locked="0"/>
    </xf>
    <xf numFmtId="0" fontId="1" fillId="0" borderId="0" xfId="208" applyFill="1" applyBorder="1" applyAlignment="1" applyProtection="1">
      <alignment vertical="center" wrapText="1"/>
      <protection locked="0"/>
    </xf>
    <xf numFmtId="0" fontId="111" fillId="2" borderId="0" xfId="208" applyFont="1" applyFill="1" applyProtection="1">
      <protection locked="0"/>
    </xf>
    <xf numFmtId="0" fontId="66" fillId="2" borderId="0" xfId="208" applyFont="1" applyFill="1" applyProtection="1">
      <protection locked="0"/>
    </xf>
    <xf numFmtId="0" fontId="2" fillId="27" borderId="38" xfId="72" applyFont="1" applyFill="1" applyBorder="1" applyAlignment="1" applyProtection="1">
      <alignment horizontal="left" vertical="center"/>
    </xf>
    <xf numFmtId="0" fontId="1" fillId="0" borderId="0" xfId="208"/>
    <xf numFmtId="0" fontId="1" fillId="0" borderId="0" xfId="208" applyAlignment="1">
      <alignment horizontal="center" vertical="center"/>
    </xf>
    <xf numFmtId="0" fontId="158" fillId="27" borderId="57" xfId="208" applyFont="1" applyFill="1" applyBorder="1" applyAlignment="1" applyProtection="1">
      <alignment horizontal="center" vertical="center" wrapText="1"/>
    </xf>
    <xf numFmtId="0" fontId="41" fillId="0" borderId="0" xfId="208" applyFont="1" applyBorder="1" applyAlignment="1">
      <alignment horizontal="center" vertical="center"/>
    </xf>
    <xf numFmtId="0" fontId="160" fillId="0" borderId="0" xfId="208" applyFont="1" applyBorder="1"/>
    <xf numFmtId="0" fontId="1" fillId="0" borderId="0" xfId="208" applyBorder="1"/>
    <xf numFmtId="0" fontId="158" fillId="27" borderId="57" xfId="208" applyFont="1" applyFill="1" applyBorder="1" applyAlignment="1">
      <alignment horizontal="center" vertical="center" wrapText="1"/>
    </xf>
    <xf numFmtId="0" fontId="1" fillId="0" borderId="0" xfId="208" applyBorder="1" applyAlignment="1">
      <alignment horizontal="center" vertical="center"/>
    </xf>
    <xf numFmtId="0" fontId="161" fillId="27" borderId="0" xfId="208" quotePrefix="1" applyFont="1" applyFill="1" applyBorder="1" applyAlignment="1" applyProtection="1">
      <alignment horizontal="center" vertical="center" wrapText="1"/>
    </xf>
    <xf numFmtId="0" fontId="159" fillId="0" borderId="0" xfId="208" quotePrefix="1" applyFont="1" applyBorder="1" applyAlignment="1" applyProtection="1">
      <alignment horizontal="center" vertical="center"/>
    </xf>
    <xf numFmtId="0" fontId="158" fillId="27" borderId="12" xfId="208" quotePrefix="1" applyFont="1" applyFill="1" applyBorder="1" applyAlignment="1">
      <alignment horizontal="center" vertical="center" wrapText="1"/>
    </xf>
    <xf numFmtId="0" fontId="159" fillId="0" borderId="11" xfId="208" quotePrefix="1" applyFont="1" applyBorder="1" applyAlignment="1" applyProtection="1">
      <alignment horizontal="center" vertical="center"/>
    </xf>
    <xf numFmtId="0" fontId="39" fillId="2" borderId="0" xfId="21" applyFont="1" applyFill="1" applyBorder="1" applyProtection="1">
      <protection locked="0"/>
    </xf>
    <xf numFmtId="0" fontId="9" fillId="2" borderId="0" xfId="21" applyFont="1" applyFill="1" applyBorder="1" applyAlignment="1" applyProtection="1">
      <alignment horizontal="center"/>
      <protection locked="0"/>
    </xf>
    <xf numFmtId="0" fontId="39" fillId="2" borderId="0" xfId="21" applyFont="1" applyFill="1" applyProtection="1">
      <protection locked="0"/>
    </xf>
    <xf numFmtId="0" fontId="11" fillId="2" borderId="0" xfId="21" applyFont="1" applyFill="1" applyBorder="1" applyAlignment="1" applyProtection="1">
      <alignment horizontal="center"/>
      <protection locked="0"/>
    </xf>
    <xf numFmtId="0" fontId="40" fillId="0" borderId="0" xfId="21" applyFont="1" applyProtection="1">
      <protection locked="0"/>
    </xf>
    <xf numFmtId="0" fontId="12" fillId="2" borderId="0" xfId="21" applyFont="1" applyFill="1" applyBorder="1" applyAlignment="1" applyProtection="1">
      <alignment horizontal="center"/>
      <protection locked="0"/>
    </xf>
    <xf numFmtId="0" fontId="13" fillId="0" borderId="0" xfId="21" applyFont="1" applyFill="1" applyBorder="1" applyAlignment="1" applyProtection="1">
      <alignment horizontal="center" vertical="center"/>
      <protection locked="0"/>
    </xf>
    <xf numFmtId="0" fontId="14" fillId="2" borderId="0" xfId="21" applyFont="1" applyFill="1" applyBorder="1" applyAlignment="1" applyProtection="1">
      <alignment horizontal="right"/>
      <protection locked="0"/>
    </xf>
    <xf numFmtId="0" fontId="15" fillId="2" borderId="0" xfId="21" applyFont="1" applyFill="1" applyProtection="1">
      <protection locked="0"/>
    </xf>
    <xf numFmtId="0" fontId="4" fillId="2" borderId="0" xfId="21" applyFont="1" applyFill="1" applyProtection="1">
      <protection locked="0"/>
    </xf>
    <xf numFmtId="0" fontId="42" fillId="2" borderId="0" xfId="21" applyFont="1" applyFill="1" applyProtection="1">
      <protection locked="0"/>
    </xf>
    <xf numFmtId="1" fontId="10" fillId="2" borderId="0" xfId="21" applyNumberFormat="1" applyFont="1" applyFill="1" applyBorder="1" applyAlignment="1" applyProtection="1">
      <alignment horizontal="center" vertical="center"/>
      <protection locked="0"/>
    </xf>
    <xf numFmtId="0" fontId="10" fillId="2" borderId="0" xfId="21" applyFont="1" applyFill="1" applyBorder="1" applyProtection="1">
      <protection locked="0"/>
    </xf>
    <xf numFmtId="0" fontId="1" fillId="2" borderId="20" xfId="21" applyFont="1" applyFill="1" applyBorder="1" applyProtection="1">
      <protection locked="0"/>
    </xf>
    <xf numFmtId="0" fontId="1" fillId="2" borderId="0" xfId="21" applyFont="1" applyFill="1" applyBorder="1" applyProtection="1">
      <protection locked="0"/>
    </xf>
    <xf numFmtId="0" fontId="1" fillId="2" borderId="0" xfId="21" applyFont="1" applyFill="1" applyBorder="1" applyAlignment="1" applyProtection="1">
      <protection locked="0"/>
    </xf>
    <xf numFmtId="0" fontId="1" fillId="2" borderId="19" xfId="21" applyFont="1" applyFill="1" applyBorder="1" applyProtection="1">
      <protection locked="0"/>
    </xf>
    <xf numFmtId="0" fontId="1" fillId="2" borderId="0" xfId="21" applyFill="1" applyBorder="1" applyProtection="1">
      <protection locked="0"/>
    </xf>
    <xf numFmtId="0" fontId="1" fillId="2" borderId="0" xfId="21" applyFill="1" applyAlignment="1" applyProtection="1">
      <protection locked="0"/>
    </xf>
    <xf numFmtId="2" fontId="1" fillId="2" borderId="0" xfId="21" applyNumberFormat="1" applyFont="1" applyFill="1" applyBorder="1" applyAlignment="1" applyProtection="1">
      <alignment horizontal="center" vertical="center"/>
      <protection locked="0"/>
    </xf>
    <xf numFmtId="0" fontId="1" fillId="2" borderId="0" xfId="21" applyFont="1" applyFill="1" applyBorder="1" applyAlignment="1" applyProtection="1">
      <alignment horizontal="center" vertical="center"/>
      <protection locked="0"/>
    </xf>
    <xf numFmtId="167" fontId="1" fillId="2" borderId="0" xfId="21" applyNumberFormat="1" applyFont="1" applyFill="1" applyBorder="1" applyAlignment="1" applyProtection="1">
      <alignment horizontal="center" vertical="center"/>
      <protection locked="0"/>
    </xf>
    <xf numFmtId="1" fontId="1" fillId="2" borderId="0" xfId="21" applyNumberFormat="1" applyFont="1" applyFill="1" applyBorder="1" applyAlignment="1" applyProtection="1">
      <alignment horizontal="center" vertical="center"/>
      <protection locked="0"/>
    </xf>
    <xf numFmtId="1" fontId="1" fillId="2" borderId="19" xfId="21" applyNumberFormat="1" applyFont="1" applyFill="1" applyBorder="1" applyAlignment="1" applyProtection="1">
      <alignment horizontal="center" vertical="center"/>
      <protection locked="0"/>
    </xf>
    <xf numFmtId="2" fontId="39" fillId="2" borderId="0" xfId="21" applyNumberFormat="1" applyFont="1" applyFill="1" applyProtection="1">
      <protection locked="0"/>
    </xf>
    <xf numFmtId="1" fontId="39" fillId="2" borderId="0" xfId="21" applyNumberFormat="1" applyFont="1" applyFill="1" applyProtection="1">
      <protection locked="0"/>
    </xf>
    <xf numFmtId="1" fontId="2" fillId="27" borderId="203" xfId="1" applyNumberFormat="1" applyFont="1" applyFill="1" applyBorder="1" applyAlignment="1" applyProtection="1">
      <alignment horizontal="left" vertical="center"/>
    </xf>
    <xf numFmtId="0" fontId="2" fillId="27" borderId="203" xfId="1" applyFont="1" applyFill="1" applyBorder="1" applyAlignment="1" applyProtection="1">
      <alignment horizontal="left" vertical="center"/>
    </xf>
    <xf numFmtId="0" fontId="1" fillId="0" borderId="166" xfId="1" applyFont="1" applyBorder="1" applyAlignment="1" applyProtection="1">
      <alignment vertical="center"/>
    </xf>
    <xf numFmtId="0" fontId="1" fillId="0" borderId="210" xfId="1" applyFont="1" applyBorder="1" applyAlignment="1" applyProtection="1">
      <alignment vertical="center"/>
    </xf>
    <xf numFmtId="2" fontId="148" fillId="36" borderId="57" xfId="430" applyNumberFormat="1" applyFont="1" applyFill="1" applyBorder="1" applyAlignment="1" applyProtection="1">
      <alignment horizontal="center" vertical="center"/>
    </xf>
    <xf numFmtId="167" fontId="150" fillId="2" borderId="0" xfId="427" applyNumberFormat="1" applyFont="1" applyFill="1" applyAlignment="1" applyProtection="1">
      <alignment vertical="center"/>
    </xf>
    <xf numFmtId="0" fontId="150" fillId="2" borderId="0" xfId="427" applyFont="1" applyFill="1" applyAlignment="1" applyProtection="1">
      <alignment vertical="center"/>
    </xf>
    <xf numFmtId="10" fontId="150" fillId="2" borderId="0" xfId="432" applyNumberFormat="1" applyFont="1" applyFill="1" applyAlignment="1" applyProtection="1">
      <alignment vertical="center"/>
    </xf>
    <xf numFmtId="2" fontId="110" fillId="0" borderId="57" xfId="429" applyNumberFormat="1" applyFont="1" applyBorder="1" applyAlignment="1" applyProtection="1">
      <alignment horizontal="center" vertical="center"/>
    </xf>
    <xf numFmtId="167" fontId="110" fillId="0" borderId="57" xfId="429" applyNumberFormat="1" applyFont="1" applyBorder="1" applyAlignment="1" applyProtection="1">
      <alignment horizontal="center" vertical="center"/>
    </xf>
    <xf numFmtId="0" fontId="4" fillId="0" borderId="0" xfId="544" applyFont="1" applyProtection="1"/>
    <xf numFmtId="0" fontId="12" fillId="2" borderId="37" xfId="21" applyFont="1" applyFill="1" applyBorder="1" applyAlignment="1" applyProtection="1"/>
    <xf numFmtId="0" fontId="156" fillId="2" borderId="0" xfId="21" applyFont="1" applyFill="1" applyProtection="1"/>
    <xf numFmtId="0" fontId="156" fillId="2" borderId="0" xfId="21" applyFont="1" applyFill="1" applyBorder="1" applyAlignment="1" applyProtection="1">
      <alignment horizontal="center" vertical="center"/>
    </xf>
    <xf numFmtId="0" fontId="39" fillId="2" borderId="0" xfId="21" applyFont="1" applyFill="1" applyBorder="1" applyProtection="1"/>
    <xf numFmtId="0" fontId="156" fillId="2" borderId="0" xfId="21" applyFont="1" applyFill="1" applyBorder="1" applyAlignment="1" applyProtection="1">
      <alignment horizontal="center"/>
    </xf>
    <xf numFmtId="0" fontId="39" fillId="2" borderId="0" xfId="21" applyFont="1" applyFill="1" applyProtection="1"/>
    <xf numFmtId="167" fontId="1" fillId="2" borderId="70" xfId="150" applyNumberFormat="1" applyFont="1" applyFill="1" applyBorder="1" applyAlignment="1" applyProtection="1">
      <alignment horizontal="centerContinuous"/>
    </xf>
    <xf numFmtId="0" fontId="2" fillId="2" borderId="70" xfId="150" applyFont="1" applyFill="1" applyBorder="1" applyProtection="1"/>
    <xf numFmtId="0" fontId="73" fillId="2" borderId="70" xfId="150" applyFont="1" applyFill="1" applyBorder="1" applyAlignment="1" applyProtection="1">
      <alignment horizontal="center"/>
    </xf>
    <xf numFmtId="167" fontId="73" fillId="2" borderId="70" xfId="150" applyNumberFormat="1" applyFont="1" applyFill="1" applyBorder="1" applyAlignment="1" applyProtection="1">
      <alignment horizontal="center"/>
    </xf>
    <xf numFmtId="2" fontId="1" fillId="2" borderId="70" xfId="150" applyNumberFormat="1" applyFont="1" applyFill="1" applyBorder="1" applyAlignment="1" applyProtection="1">
      <alignment horizontal="centerContinuous"/>
    </xf>
    <xf numFmtId="2" fontId="73" fillId="32" borderId="70" xfId="150" applyNumberFormat="1" applyFont="1" applyFill="1" applyBorder="1" applyAlignment="1" applyProtection="1">
      <alignment horizontal="center"/>
    </xf>
    <xf numFmtId="167" fontId="73" fillId="32" borderId="70" xfId="150" applyNumberFormat="1" applyFont="1" applyFill="1" applyBorder="1" applyAlignment="1" applyProtection="1">
      <alignment horizontal="center"/>
    </xf>
    <xf numFmtId="2" fontId="67" fillId="2" borderId="70" xfId="150" applyNumberFormat="1" applyFill="1" applyBorder="1" applyAlignment="1" applyProtection="1">
      <alignment horizontal="center"/>
    </xf>
    <xf numFmtId="0" fontId="79" fillId="2" borderId="70" xfId="150" applyFont="1" applyFill="1" applyBorder="1" applyAlignment="1" applyProtection="1">
      <alignment horizontal="center"/>
    </xf>
    <xf numFmtId="2" fontId="80" fillId="2" borderId="72" xfId="150" applyNumberFormat="1" applyFont="1" applyFill="1" applyBorder="1" applyAlignment="1" applyProtection="1">
      <alignment horizontal="centerContinuous"/>
    </xf>
    <xf numFmtId="0" fontId="79" fillId="2" borderId="72" xfId="150" applyFont="1" applyFill="1" applyBorder="1" applyAlignment="1" applyProtection="1">
      <alignment horizontal="center"/>
    </xf>
    <xf numFmtId="0" fontId="67" fillId="2" borderId="70" xfId="150" applyFill="1" applyBorder="1" applyProtection="1"/>
    <xf numFmtId="167" fontId="67" fillId="2" borderId="70" xfId="150" applyNumberFormat="1" applyFill="1" applyBorder="1" applyProtection="1"/>
    <xf numFmtId="173" fontId="70" fillId="2" borderId="70" xfId="150" applyNumberFormat="1" applyFont="1" applyFill="1" applyBorder="1" applyProtection="1"/>
    <xf numFmtId="0" fontId="73" fillId="2" borderId="70" xfId="150" applyFont="1" applyFill="1" applyBorder="1" applyProtection="1"/>
    <xf numFmtId="2" fontId="80" fillId="2" borderId="73" xfId="150" applyNumberFormat="1" applyFont="1" applyFill="1" applyBorder="1" applyAlignment="1" applyProtection="1">
      <alignment horizontal="center"/>
    </xf>
    <xf numFmtId="0" fontId="1" fillId="2" borderId="74" xfId="150" applyFont="1" applyFill="1" applyBorder="1" applyAlignment="1" applyProtection="1">
      <alignment horizontal="center"/>
    </xf>
    <xf numFmtId="0" fontId="67" fillId="2" borderId="0" xfId="150" applyFill="1" applyProtection="1"/>
    <xf numFmtId="167" fontId="67" fillId="2" borderId="75" xfId="150" applyNumberFormat="1" applyFill="1" applyBorder="1" applyProtection="1"/>
    <xf numFmtId="0" fontId="73" fillId="2" borderId="0" xfId="150" applyFont="1" applyFill="1" applyBorder="1" applyProtection="1"/>
    <xf numFmtId="2" fontId="80" fillId="2" borderId="76" xfId="150" applyNumberFormat="1" applyFont="1" applyFill="1" applyBorder="1" applyAlignment="1" applyProtection="1">
      <alignment horizontal="center"/>
    </xf>
    <xf numFmtId="0" fontId="81" fillId="2" borderId="77" xfId="150" applyFont="1" applyFill="1" applyBorder="1" applyAlignment="1" applyProtection="1">
      <alignment horizontal="center"/>
    </xf>
    <xf numFmtId="2" fontId="82" fillId="2" borderId="70" xfId="150" applyNumberFormat="1" applyFont="1" applyFill="1" applyBorder="1" applyAlignment="1" applyProtection="1">
      <alignment horizontal="centerContinuous"/>
    </xf>
    <xf numFmtId="167" fontId="83" fillId="2" borderId="0" xfId="150" applyNumberFormat="1" applyFont="1" applyFill="1" applyBorder="1" applyAlignment="1" applyProtection="1">
      <alignment horizontal="center"/>
    </xf>
    <xf numFmtId="0" fontId="67" fillId="2" borderId="0" xfId="150" applyFill="1" applyBorder="1" applyProtection="1"/>
    <xf numFmtId="0" fontId="86" fillId="2" borderId="0" xfId="150" applyFont="1" applyFill="1" applyProtection="1"/>
    <xf numFmtId="167" fontId="1" fillId="2" borderId="35" xfId="150" applyNumberFormat="1" applyFont="1" applyFill="1" applyBorder="1" applyAlignment="1" applyProtection="1">
      <alignment horizontal="center" vertical="center"/>
    </xf>
    <xf numFmtId="167" fontId="1" fillId="2" borderId="0" xfId="150" applyNumberFormat="1" applyFont="1" applyFill="1" applyBorder="1" applyAlignment="1" applyProtection="1">
      <alignment horizontal="center" vertical="center"/>
    </xf>
    <xf numFmtId="167" fontId="1" fillId="2" borderId="40" xfId="150" applyNumberFormat="1" applyFont="1" applyFill="1" applyBorder="1" applyAlignment="1" applyProtection="1">
      <alignment horizontal="center"/>
    </xf>
    <xf numFmtId="0" fontId="90" fillId="2" borderId="78" xfId="150" applyFont="1" applyFill="1" applyBorder="1" applyAlignment="1" applyProtection="1">
      <alignment horizontal="centerContinuous"/>
    </xf>
    <xf numFmtId="0" fontId="67" fillId="2" borderId="79" xfId="150" applyFill="1" applyBorder="1" applyAlignment="1" applyProtection="1">
      <alignment horizontal="centerContinuous"/>
    </xf>
    <xf numFmtId="0" fontId="67" fillId="2" borderId="80" xfId="150" applyFill="1" applyBorder="1" applyAlignment="1" applyProtection="1">
      <alignment horizontal="centerContinuous"/>
    </xf>
    <xf numFmtId="0" fontId="67" fillId="2" borderId="81" xfId="150" applyFill="1" applyBorder="1" applyProtection="1"/>
    <xf numFmtId="0" fontId="67" fillId="2" borderId="57" xfId="150" applyFill="1" applyBorder="1" applyProtection="1"/>
    <xf numFmtId="0" fontId="67" fillId="2" borderId="82" xfId="150" applyFill="1" applyBorder="1" applyProtection="1"/>
    <xf numFmtId="0" fontId="67" fillId="2" borderId="81" xfId="150" applyFill="1" applyBorder="1" applyAlignment="1" applyProtection="1">
      <alignment horizontal="center"/>
    </xf>
    <xf numFmtId="167" fontId="67" fillId="2" borderId="57" xfId="150" applyNumberFormat="1" applyFill="1" applyBorder="1" applyAlignment="1" applyProtection="1">
      <alignment horizontal="center"/>
    </xf>
    <xf numFmtId="167" fontId="67" fillId="2" borderId="82" xfId="150" applyNumberFormat="1" applyFill="1" applyBorder="1" applyAlignment="1" applyProtection="1">
      <alignment horizontal="center"/>
    </xf>
    <xf numFmtId="2" fontId="67" fillId="2" borderId="57" xfId="150" applyNumberFormat="1" applyFill="1" applyBorder="1" applyAlignment="1" applyProtection="1">
      <alignment horizontal="center"/>
    </xf>
    <xf numFmtId="167" fontId="67" fillId="2" borderId="57" xfId="150" applyNumberFormat="1" applyFill="1" applyBorder="1" applyProtection="1"/>
    <xf numFmtId="167" fontId="67" fillId="2" borderId="82" xfId="150" applyNumberFormat="1" applyFill="1" applyBorder="1" applyProtection="1"/>
    <xf numFmtId="0" fontId="83" fillId="2" borderId="81" xfId="150" applyFont="1" applyFill="1" applyBorder="1" applyAlignment="1" applyProtection="1">
      <alignment horizontal="center"/>
    </xf>
    <xf numFmtId="0" fontId="83" fillId="2" borderId="57" xfId="150" applyFont="1" applyFill="1" applyBorder="1" applyAlignment="1" applyProtection="1">
      <alignment horizontal="center"/>
    </xf>
    <xf numFmtId="0" fontId="83" fillId="2" borderId="82" xfId="150" applyFont="1" applyFill="1" applyBorder="1" applyProtection="1"/>
    <xf numFmtId="167" fontId="83" fillId="2" borderId="57" xfId="150" applyNumberFormat="1" applyFont="1" applyFill="1" applyBorder="1" applyAlignment="1" applyProtection="1">
      <alignment horizontal="center"/>
    </xf>
    <xf numFmtId="167" fontId="83" fillId="2" borderId="82" xfId="150" applyNumberFormat="1" applyFont="1" applyFill="1" applyBorder="1" applyProtection="1"/>
    <xf numFmtId="0" fontId="91" fillId="2" borderId="81" xfId="150" applyFont="1" applyFill="1" applyBorder="1" applyAlignment="1" applyProtection="1">
      <alignment horizontal="center"/>
    </xf>
    <xf numFmtId="0" fontId="91" fillId="2" borderId="57" xfId="150" applyFont="1" applyFill="1" applyBorder="1" applyAlignment="1" applyProtection="1">
      <alignment horizontal="center"/>
    </xf>
    <xf numFmtId="0" fontId="67" fillId="2" borderId="83" xfId="150" applyFill="1" applyBorder="1" applyProtection="1"/>
    <xf numFmtId="167" fontId="91" fillId="2" borderId="84" xfId="150" applyNumberFormat="1" applyFont="1" applyFill="1" applyBorder="1" applyAlignment="1" applyProtection="1">
      <alignment horizontal="center"/>
    </xf>
    <xf numFmtId="167" fontId="91" fillId="2" borderId="85" xfId="150" applyNumberFormat="1" applyFont="1" applyFill="1" applyBorder="1" applyAlignment="1" applyProtection="1">
      <alignment horizontal="center"/>
    </xf>
    <xf numFmtId="0" fontId="67" fillId="2" borderId="86" xfId="150" applyFill="1" applyBorder="1" applyProtection="1"/>
    <xf numFmtId="0" fontId="67" fillId="2" borderId="57" xfId="150" applyFill="1" applyBorder="1" applyAlignment="1" applyProtection="1">
      <alignment horizontal="center"/>
    </xf>
    <xf numFmtId="167" fontId="67" fillId="2" borderId="0" xfId="150" applyNumberFormat="1" applyFill="1" applyProtection="1"/>
    <xf numFmtId="0" fontId="1" fillId="2" borderId="0" xfId="150" applyFont="1" applyFill="1" applyProtection="1"/>
    <xf numFmtId="0" fontId="93" fillId="2" borderId="12" xfId="150" applyFont="1" applyFill="1" applyBorder="1" applyAlignment="1" applyProtection="1"/>
    <xf numFmtId="0" fontId="93" fillId="2" borderId="11" xfId="150" applyFont="1" applyFill="1" applyBorder="1" applyAlignment="1" applyProtection="1"/>
    <xf numFmtId="0" fontId="93" fillId="2" borderId="57" xfId="150" applyFont="1" applyFill="1" applyBorder="1" applyAlignment="1" applyProtection="1"/>
    <xf numFmtId="0" fontId="1" fillId="2" borderId="57" xfId="150" applyFont="1" applyFill="1" applyBorder="1" applyAlignment="1" applyProtection="1">
      <alignment horizontal="centerContinuous"/>
    </xf>
    <xf numFmtId="0" fontId="1" fillId="2" borderId="57" xfId="150" applyFont="1" applyFill="1" applyBorder="1" applyAlignment="1" applyProtection="1">
      <alignment horizontal="center"/>
    </xf>
    <xf numFmtId="0" fontId="1" fillId="2" borderId="0" xfId="150" applyFont="1" applyFill="1" applyAlignment="1" applyProtection="1">
      <alignment horizontal="center"/>
    </xf>
    <xf numFmtId="0" fontId="1" fillId="0" borderId="0" xfId="150" applyFont="1" applyFill="1" applyProtection="1"/>
    <xf numFmtId="0" fontId="67" fillId="0" borderId="0" xfId="150" applyFill="1" applyProtection="1"/>
    <xf numFmtId="0" fontId="75" fillId="2" borderId="0" xfId="150" applyFont="1" applyFill="1" applyBorder="1" applyAlignment="1" applyProtection="1"/>
    <xf numFmtId="2" fontId="1" fillId="2" borderId="90" xfId="150" applyNumberFormat="1" applyFont="1" applyFill="1" applyBorder="1" applyAlignment="1" applyProtection="1">
      <alignment horizontal="centerContinuous"/>
    </xf>
    <xf numFmtId="0" fontId="1" fillId="2" borderId="90" xfId="150" applyFont="1" applyFill="1" applyBorder="1" applyProtection="1"/>
    <xf numFmtId="167" fontId="67" fillId="32" borderId="90" xfId="150" applyNumberFormat="1" applyFont="1" applyFill="1" applyBorder="1" applyAlignment="1" applyProtection="1">
      <alignment horizontal="center"/>
    </xf>
    <xf numFmtId="2" fontId="67" fillId="2" borderId="90" xfId="150" applyNumberFormat="1" applyFont="1" applyFill="1" applyBorder="1" applyAlignment="1" applyProtection="1">
      <alignment horizontal="center"/>
    </xf>
    <xf numFmtId="167" fontId="65" fillId="2" borderId="90" xfId="150" applyNumberFormat="1" applyFont="1" applyFill="1" applyBorder="1" applyAlignment="1" applyProtection="1">
      <alignment horizontal="center"/>
    </xf>
    <xf numFmtId="2" fontId="81" fillId="2" borderId="90" xfId="150" applyNumberFormat="1" applyFont="1" applyFill="1" applyBorder="1" applyAlignment="1" applyProtection="1">
      <alignment horizontal="centerContinuous"/>
    </xf>
    <xf numFmtId="0" fontId="65" fillId="2" borderId="90" xfId="150" applyFont="1" applyFill="1" applyBorder="1" applyAlignment="1" applyProtection="1">
      <alignment horizontal="center"/>
    </xf>
    <xf numFmtId="0" fontId="67" fillId="2" borderId="90" xfId="150" applyFont="1" applyFill="1" applyBorder="1" applyProtection="1"/>
    <xf numFmtId="0" fontId="153" fillId="0" borderId="57" xfId="429" applyNumberFormat="1" applyFont="1" applyBorder="1" applyAlignment="1" applyProtection="1">
      <alignment horizontal="center" vertical="center"/>
    </xf>
    <xf numFmtId="0" fontId="150" fillId="0" borderId="13" xfId="429" applyFont="1" applyBorder="1" applyAlignment="1" applyProtection="1">
      <alignment vertical="center"/>
    </xf>
    <xf numFmtId="0" fontId="110" fillId="0" borderId="0" xfId="429" applyFont="1" applyAlignment="1" applyProtection="1">
      <alignment vertical="center"/>
    </xf>
    <xf numFmtId="0" fontId="12" fillId="0" borderId="0" xfId="208" applyFont="1" applyBorder="1" applyAlignment="1" applyProtection="1">
      <alignment horizontal="center" vertical="center"/>
    </xf>
    <xf numFmtId="0" fontId="2" fillId="0" borderId="19" xfId="208" applyFont="1" applyBorder="1" applyAlignment="1" applyProtection="1">
      <alignment horizontal="center" vertical="center"/>
    </xf>
    <xf numFmtId="0" fontId="12" fillId="0" borderId="233" xfId="208" applyFont="1" applyBorder="1" applyAlignment="1" applyProtection="1">
      <alignment horizontal="center" vertical="center"/>
    </xf>
    <xf numFmtId="0" fontId="2" fillId="0" borderId="233" xfId="208" applyFont="1" applyBorder="1" applyAlignment="1" applyProtection="1">
      <alignment horizontal="center" vertical="center"/>
    </xf>
    <xf numFmtId="0" fontId="12" fillId="0" borderId="17" xfId="208" applyFont="1" applyBorder="1" applyAlignment="1" applyProtection="1">
      <alignment horizontal="center" vertical="center"/>
    </xf>
    <xf numFmtId="0" fontId="2" fillId="0" borderId="17" xfId="208" applyFont="1" applyBorder="1" applyAlignment="1" applyProtection="1">
      <alignment horizontal="center" vertical="center"/>
    </xf>
    <xf numFmtId="0" fontId="12" fillId="0" borderId="235" xfId="208" applyFont="1" applyBorder="1" applyAlignment="1" applyProtection="1">
      <alignment horizontal="center" vertical="center"/>
    </xf>
    <xf numFmtId="0" fontId="2" fillId="0" borderId="240" xfId="208" applyFont="1" applyBorder="1" applyAlignment="1" applyProtection="1">
      <alignment horizontal="center" vertical="center"/>
    </xf>
    <xf numFmtId="0" fontId="2" fillId="0" borderId="241" xfId="208" applyFont="1" applyBorder="1" applyAlignment="1" applyProtection="1">
      <alignment horizontal="center" vertical="center"/>
    </xf>
    <xf numFmtId="0" fontId="12" fillId="0" borderId="40" xfId="208" applyFont="1" applyBorder="1" applyAlignment="1" applyProtection="1">
      <alignment horizontal="center" vertical="center"/>
    </xf>
    <xf numFmtId="0" fontId="2" fillId="0" borderId="41" xfId="208" applyFont="1" applyBorder="1" applyAlignment="1" applyProtection="1">
      <alignment horizontal="center" vertical="center"/>
    </xf>
    <xf numFmtId="0" fontId="12" fillId="0" borderId="240" xfId="208" applyFont="1" applyBorder="1" applyAlignment="1" applyProtection="1">
      <alignment horizontal="center" vertical="center"/>
    </xf>
    <xf numFmtId="0" fontId="12" fillId="0" borderId="241" xfId="208" applyFont="1" applyBorder="1" applyAlignment="1" applyProtection="1">
      <alignment horizontal="center" vertical="center" wrapText="1"/>
    </xf>
    <xf numFmtId="0" fontId="12" fillId="0" borderId="241" xfId="208" applyFont="1" applyBorder="1" applyAlignment="1" applyProtection="1">
      <alignment horizontal="center" vertical="center"/>
    </xf>
    <xf numFmtId="0" fontId="2" fillId="0" borderId="243" xfId="208" applyFont="1" applyBorder="1" applyAlignment="1" applyProtection="1">
      <alignment horizontal="center" vertical="center"/>
    </xf>
    <xf numFmtId="0" fontId="12" fillId="0" borderId="244" xfId="208" applyFont="1" applyBorder="1" applyAlignment="1" applyProtection="1">
      <alignment horizontal="center" vertical="center"/>
    </xf>
    <xf numFmtId="0" fontId="4" fillId="0" borderId="37" xfId="208" applyFont="1" applyBorder="1" applyProtection="1"/>
    <xf numFmtId="0" fontId="5" fillId="0" borderId="38" xfId="208" applyFont="1" applyBorder="1" applyAlignment="1" applyProtection="1">
      <alignment horizontal="center" vertical="center"/>
    </xf>
    <xf numFmtId="0" fontId="4" fillId="0" borderId="39" xfId="208" applyFont="1" applyBorder="1" applyProtection="1"/>
    <xf numFmtId="0" fontId="5" fillId="0" borderId="41" xfId="208" applyFont="1" applyBorder="1" applyAlignment="1" applyProtection="1">
      <alignment horizontal="center" vertical="center"/>
    </xf>
    <xf numFmtId="0" fontId="2" fillId="0" borderId="37" xfId="208" applyFont="1" applyBorder="1" applyProtection="1"/>
    <xf numFmtId="0" fontId="4" fillId="0" borderId="38" xfId="208" applyFont="1" applyBorder="1" applyProtection="1"/>
    <xf numFmtId="0" fontId="2" fillId="0" borderId="39" xfId="208" applyFont="1" applyBorder="1" applyProtection="1"/>
    <xf numFmtId="0" fontId="4" fillId="0" borderId="41" xfId="208" applyFont="1" applyBorder="1" applyAlignment="1" applyProtection="1">
      <alignment horizontal="center"/>
    </xf>
    <xf numFmtId="0" fontId="144" fillId="25" borderId="93" xfId="208" applyFont="1" applyFill="1" applyBorder="1" applyAlignment="1" applyProtection="1">
      <alignment horizontal="center" vertical="center"/>
    </xf>
    <xf numFmtId="0" fontId="146" fillId="0" borderId="93" xfId="208" applyFont="1" applyFill="1" applyBorder="1" applyAlignment="1" applyProtection="1">
      <alignment horizontal="center"/>
    </xf>
    <xf numFmtId="167" fontId="146" fillId="0" borderId="93" xfId="208" applyNumberFormat="1" applyFont="1" applyFill="1" applyBorder="1" applyAlignment="1" applyProtection="1">
      <alignment horizontal="center"/>
    </xf>
    <xf numFmtId="0" fontId="146" fillId="0" borderId="33" xfId="208" applyFont="1" applyFill="1" applyBorder="1" applyAlignment="1" applyProtection="1">
      <alignment horizontal="center"/>
    </xf>
    <xf numFmtId="167" fontId="146" fillId="0" borderId="33" xfId="208" applyNumberFormat="1" applyFont="1" applyFill="1" applyBorder="1" applyAlignment="1" applyProtection="1">
      <alignment horizontal="center"/>
    </xf>
    <xf numFmtId="0" fontId="43" fillId="25" borderId="152" xfId="208" applyFont="1" applyFill="1" applyBorder="1" applyAlignment="1" applyProtection="1">
      <alignment vertical="center"/>
    </xf>
    <xf numFmtId="0" fontId="43" fillId="25" borderId="153" xfId="208" applyFont="1" applyFill="1" applyBorder="1" applyAlignment="1" applyProtection="1">
      <alignment vertical="center"/>
    </xf>
    <xf numFmtId="0" fontId="43" fillId="25" borderId="135" xfId="208" applyFont="1" applyFill="1" applyBorder="1" applyAlignment="1" applyProtection="1">
      <alignment horizontal="center" vertical="center"/>
    </xf>
    <xf numFmtId="2" fontId="2" fillId="0" borderId="237" xfId="208" applyNumberFormat="1" applyFont="1" applyBorder="1" applyAlignment="1" applyProtection="1">
      <alignment horizontal="center" vertical="center" wrapText="1"/>
    </xf>
    <xf numFmtId="2" fontId="2" fillId="0" borderId="247" xfId="208" applyNumberFormat="1" applyFont="1" applyBorder="1" applyAlignment="1" applyProtection="1">
      <alignment vertical="center" wrapText="1"/>
    </xf>
    <xf numFmtId="2" fontId="2" fillId="0" borderId="236" xfId="208" applyNumberFormat="1" applyFont="1" applyBorder="1" applyAlignment="1" applyProtection="1">
      <alignment vertical="center" wrapText="1"/>
    </xf>
    <xf numFmtId="2" fontId="2" fillId="0" borderId="238" xfId="208" applyNumberFormat="1" applyFont="1" applyBorder="1" applyAlignment="1" applyProtection="1">
      <alignment horizontal="center" vertical="center" wrapText="1"/>
    </xf>
    <xf numFmtId="1" fontId="12" fillId="0" borderId="229" xfId="208" applyNumberFormat="1" applyFont="1" applyBorder="1" applyAlignment="1" applyProtection="1">
      <alignment horizontal="center" vertical="center"/>
    </xf>
    <xf numFmtId="1" fontId="12" fillId="0" borderId="230" xfId="208" applyNumberFormat="1" applyFont="1" applyBorder="1" applyAlignment="1" applyProtection="1">
      <alignment vertical="center"/>
    </xf>
    <xf numFmtId="1" fontId="12" fillId="0" borderId="231" xfId="208" applyNumberFormat="1" applyFont="1" applyBorder="1" applyAlignment="1" applyProtection="1">
      <alignment vertical="center"/>
    </xf>
    <xf numFmtId="1" fontId="12" fillId="0" borderId="232" xfId="208" applyNumberFormat="1" applyFont="1" applyBorder="1" applyAlignment="1" applyProtection="1">
      <alignment horizontal="center" vertical="center"/>
    </xf>
    <xf numFmtId="1" fontId="12" fillId="0" borderId="239" xfId="208" applyNumberFormat="1" applyFont="1" applyBorder="1" applyAlignment="1" applyProtection="1">
      <alignment horizontal="center" vertical="center"/>
    </xf>
    <xf numFmtId="1" fontId="2" fillId="0" borderId="64" xfId="208" applyNumberFormat="1" applyFont="1" applyBorder="1" applyAlignment="1" applyProtection="1">
      <alignment horizontal="center" vertical="center"/>
    </xf>
    <xf numFmtId="1" fontId="2" fillId="0" borderId="249" xfId="208" applyNumberFormat="1" applyFont="1" applyBorder="1" applyAlignment="1" applyProtection="1">
      <alignment vertical="center"/>
    </xf>
    <xf numFmtId="1" fontId="2" fillId="0" borderId="250" xfId="208" applyNumberFormat="1" applyFont="1" applyBorder="1" applyAlignment="1" applyProtection="1">
      <alignment vertical="center"/>
    </xf>
    <xf numFmtId="1" fontId="2" fillId="0" borderId="106" xfId="208" applyNumberFormat="1" applyFont="1" applyBorder="1" applyAlignment="1" applyProtection="1">
      <alignment horizontal="center" vertical="center"/>
    </xf>
    <xf numFmtId="1" fontId="12" fillId="0" borderId="234" xfId="208" applyNumberFormat="1" applyFont="1" applyBorder="1" applyAlignment="1" applyProtection="1">
      <alignment horizontal="center" vertical="center"/>
    </xf>
    <xf numFmtId="1" fontId="12" fillId="0" borderId="247" xfId="208" applyNumberFormat="1" applyFont="1" applyBorder="1" applyAlignment="1" applyProtection="1">
      <alignment vertical="center"/>
    </xf>
    <xf numFmtId="1" fontId="12" fillId="0" borderId="242" xfId="208" applyNumberFormat="1" applyFont="1" applyBorder="1" applyAlignment="1" applyProtection="1">
      <alignment horizontal="center" vertical="center"/>
    </xf>
    <xf numFmtId="0" fontId="1" fillId="0" borderId="0" xfId="208" applyFont="1" applyProtection="1"/>
    <xf numFmtId="167" fontId="12" fillId="0" borderId="231" xfId="208" applyNumberFormat="1" applyFont="1" applyBorder="1" applyAlignment="1" applyProtection="1">
      <alignment horizontal="center" vertical="center" wrapText="1"/>
    </xf>
    <xf numFmtId="167" fontId="12" fillId="0" borderId="230" xfId="208" applyNumberFormat="1" applyFont="1" applyBorder="1" applyAlignment="1" applyProtection="1">
      <alignment vertical="center" wrapText="1"/>
    </xf>
    <xf numFmtId="167" fontId="12" fillId="0" borderId="239" xfId="208" applyNumberFormat="1" applyFont="1" applyBorder="1" applyAlignment="1" applyProtection="1">
      <alignment horizontal="center" vertical="center" wrapText="1"/>
    </xf>
    <xf numFmtId="167" fontId="12" fillId="42" borderId="231" xfId="208" applyNumberFormat="1" applyFont="1" applyFill="1" applyBorder="1" applyAlignment="1" applyProtection="1">
      <alignment horizontal="center" vertical="center"/>
    </xf>
    <xf numFmtId="167" fontId="12" fillId="42" borderId="230" xfId="208" applyNumberFormat="1" applyFont="1" applyFill="1" applyBorder="1" applyAlignment="1" applyProtection="1">
      <alignment vertical="center"/>
    </xf>
    <xf numFmtId="167" fontId="12" fillId="42" borderId="239" xfId="208" applyNumberFormat="1" applyFont="1" applyFill="1" applyBorder="1" applyAlignment="1" applyProtection="1">
      <alignment horizontal="center" vertical="center"/>
    </xf>
    <xf numFmtId="1" fontId="12" fillId="42" borderId="245" xfId="208" applyNumberFormat="1" applyFont="1" applyFill="1" applyBorder="1" applyAlignment="1" applyProtection="1">
      <alignment horizontal="center" vertical="center"/>
    </xf>
    <xf numFmtId="1" fontId="12" fillId="42" borderId="248" xfId="208" applyNumberFormat="1" applyFont="1" applyFill="1" applyBorder="1" applyAlignment="1" applyProtection="1">
      <alignment vertical="center"/>
    </xf>
    <xf numFmtId="1" fontId="12" fillId="42" borderId="246" xfId="208" applyNumberFormat="1" applyFont="1" applyFill="1" applyBorder="1" applyAlignment="1" applyProtection="1">
      <alignment horizontal="center" vertical="center"/>
    </xf>
    <xf numFmtId="167" fontId="163" fillId="36" borderId="57" xfId="430" applyNumberFormat="1" applyFont="1" applyFill="1" applyBorder="1" applyAlignment="1" applyProtection="1">
      <alignment horizontal="center" vertical="center"/>
    </xf>
    <xf numFmtId="167" fontId="163" fillId="27" borderId="57" xfId="430" applyNumberFormat="1" applyFont="1" applyFill="1" applyBorder="1" applyAlignment="1" applyProtection="1">
      <alignment horizontal="center" vertical="center"/>
      <protection locked="0"/>
    </xf>
    <xf numFmtId="173" fontId="164" fillId="0" borderId="57" xfId="429" applyNumberFormat="1" applyFont="1" applyBorder="1" applyAlignment="1" applyProtection="1">
      <alignment horizontal="center" vertical="center"/>
    </xf>
    <xf numFmtId="167" fontId="164" fillId="0" borderId="57" xfId="429" applyNumberFormat="1" applyFont="1" applyBorder="1" applyAlignment="1" applyProtection="1">
      <alignment horizontal="center" vertical="center"/>
    </xf>
    <xf numFmtId="167" fontId="164" fillId="0" borderId="57" xfId="429" applyNumberFormat="1" applyFont="1" applyBorder="1" applyAlignment="1" applyProtection="1">
      <alignment horizontal="center" vertical="center"/>
      <protection locked="0"/>
    </xf>
    <xf numFmtId="2" fontId="164" fillId="0" borderId="57" xfId="429" applyNumberFormat="1" applyFont="1" applyBorder="1" applyAlignment="1" applyProtection="1">
      <alignment horizontal="center" vertical="center"/>
    </xf>
    <xf numFmtId="167" fontId="165" fillId="0" borderId="57" xfId="429" applyNumberFormat="1" applyFont="1" applyBorder="1" applyAlignment="1" applyProtection="1">
      <alignment horizontal="center" vertical="center"/>
    </xf>
    <xf numFmtId="0" fontId="165" fillId="2" borderId="0" xfId="427" applyFont="1" applyFill="1" applyAlignment="1" applyProtection="1">
      <protection locked="0"/>
    </xf>
    <xf numFmtId="0" fontId="39" fillId="2" borderId="0" xfId="21" applyFont="1" applyFill="1" applyBorder="1" applyAlignment="1" applyProtection="1">
      <alignment vertical="center"/>
    </xf>
    <xf numFmtId="0" fontId="156" fillId="2" borderId="0" xfId="21" applyFont="1" applyFill="1" applyBorder="1" applyAlignment="1" applyProtection="1">
      <alignment vertical="center"/>
    </xf>
    <xf numFmtId="0" fontId="167" fillId="2" borderId="0" xfId="21" applyFont="1" applyFill="1" applyBorder="1" applyAlignment="1" applyProtection="1">
      <alignment horizontal="center" vertical="center"/>
    </xf>
    <xf numFmtId="167" fontId="156" fillId="2" borderId="0" xfId="21" applyNumberFormat="1" applyFont="1" applyFill="1" applyBorder="1" applyAlignment="1" applyProtection="1">
      <alignment horizontal="center" vertical="center"/>
    </xf>
    <xf numFmtId="1" fontId="156" fillId="2" borderId="0" xfId="21" applyNumberFormat="1" applyFont="1" applyFill="1" applyBorder="1" applyAlignment="1" applyProtection="1">
      <alignment horizontal="center" vertical="center"/>
    </xf>
    <xf numFmtId="1" fontId="156" fillId="2" borderId="0" xfId="21" quotePrefix="1" applyNumberFormat="1" applyFont="1" applyFill="1" applyBorder="1" applyAlignment="1" applyProtection="1">
      <alignment horizontal="center" vertical="center"/>
    </xf>
    <xf numFmtId="49" fontId="158" fillId="27" borderId="57" xfId="208" applyNumberFormat="1" applyFont="1" applyFill="1" applyBorder="1" applyAlignment="1">
      <alignment horizontal="center" vertical="center" wrapText="1"/>
    </xf>
    <xf numFmtId="0" fontId="169" fillId="0" borderId="236" xfId="208" applyFont="1" applyBorder="1" applyAlignment="1" applyProtection="1">
      <alignment horizontal="center" vertical="center"/>
    </xf>
    <xf numFmtId="0" fontId="169" fillId="0" borderId="247" xfId="208" applyFont="1" applyBorder="1" applyAlignment="1" applyProtection="1">
      <alignment vertical="center"/>
    </xf>
    <xf numFmtId="0" fontId="169" fillId="0" borderId="236" xfId="208" applyFont="1" applyBorder="1" applyAlignment="1" applyProtection="1">
      <alignment vertical="center"/>
    </xf>
    <xf numFmtId="0" fontId="169" fillId="0" borderId="238" xfId="208" applyFont="1" applyBorder="1" applyAlignment="1" applyProtection="1">
      <alignment horizontal="center" vertical="center"/>
    </xf>
    <xf numFmtId="0" fontId="169" fillId="0" borderId="231" xfId="208" applyFont="1" applyBorder="1" applyAlignment="1" applyProtection="1">
      <alignment horizontal="center" vertical="center"/>
    </xf>
    <xf numFmtId="0" fontId="169" fillId="0" borderId="230" xfId="208" applyFont="1" applyBorder="1" applyAlignment="1" applyProtection="1">
      <alignment vertical="center"/>
    </xf>
    <xf numFmtId="0" fontId="169" fillId="0" borderId="231" xfId="208" applyFont="1" applyBorder="1" applyAlignment="1" applyProtection="1">
      <alignment vertical="center"/>
    </xf>
    <xf numFmtId="0" fontId="169" fillId="0" borderId="239" xfId="208" applyFont="1" applyBorder="1" applyAlignment="1" applyProtection="1">
      <alignment horizontal="center" vertical="center"/>
    </xf>
    <xf numFmtId="167" fontId="169" fillId="0" borderId="231" xfId="208" applyNumberFormat="1" applyFont="1" applyBorder="1" applyAlignment="1" applyProtection="1">
      <alignment horizontal="center" vertical="center"/>
    </xf>
    <xf numFmtId="167" fontId="169" fillId="0" borderId="230" xfId="208" applyNumberFormat="1" applyFont="1" applyBorder="1" applyAlignment="1" applyProtection="1">
      <alignment vertical="center"/>
    </xf>
    <xf numFmtId="167" fontId="169" fillId="0" borderId="231" xfId="208" applyNumberFormat="1" applyFont="1" applyBorder="1" applyAlignment="1" applyProtection="1">
      <alignment vertical="center"/>
    </xf>
    <xf numFmtId="167" fontId="169" fillId="0" borderId="239" xfId="208" applyNumberFormat="1" applyFont="1" applyBorder="1" applyAlignment="1" applyProtection="1">
      <alignment horizontal="center" vertical="center"/>
    </xf>
    <xf numFmtId="1" fontId="169" fillId="28" borderId="229" xfId="208" applyNumberFormat="1" applyFont="1" applyFill="1" applyBorder="1" applyAlignment="1" applyProtection="1">
      <alignment horizontal="center" vertical="center"/>
    </xf>
    <xf numFmtId="1" fontId="169" fillId="0" borderId="230" xfId="208" applyNumberFormat="1" applyFont="1" applyBorder="1" applyAlignment="1" applyProtection="1">
      <alignment vertical="center"/>
    </xf>
    <xf numFmtId="1" fontId="169" fillId="0" borderId="231" xfId="208" applyNumberFormat="1" applyFont="1" applyBorder="1" applyAlignment="1" applyProtection="1">
      <alignment vertical="center"/>
    </xf>
    <xf numFmtId="0" fontId="169" fillId="0" borderId="229" xfId="208" applyFont="1" applyBorder="1" applyAlignment="1" applyProtection="1">
      <alignment horizontal="center" vertical="center"/>
    </xf>
    <xf numFmtId="1" fontId="169" fillId="0" borderId="229" xfId="208" applyNumberFormat="1" applyFont="1" applyBorder="1" applyAlignment="1" applyProtection="1">
      <alignment horizontal="center" vertical="center"/>
    </xf>
    <xf numFmtId="167" fontId="169" fillId="0" borderId="155" xfId="208" applyNumberFormat="1" applyFont="1" applyBorder="1" applyAlignment="1" applyProtection="1">
      <alignment horizontal="center" vertical="center"/>
    </xf>
    <xf numFmtId="167" fontId="169" fillId="0" borderId="248" xfId="208" applyNumberFormat="1" applyFont="1" applyBorder="1" applyAlignment="1" applyProtection="1">
      <alignment vertical="center"/>
    </xf>
    <xf numFmtId="167" fontId="169" fillId="0" borderId="245" xfId="208" applyNumberFormat="1" applyFont="1" applyBorder="1" applyAlignment="1" applyProtection="1">
      <alignment vertical="center"/>
    </xf>
    <xf numFmtId="167" fontId="169" fillId="0" borderId="220" xfId="208" applyNumberFormat="1" applyFont="1" applyBorder="1" applyAlignment="1" applyProtection="1">
      <alignment horizontal="center" vertical="center"/>
    </xf>
    <xf numFmtId="0" fontId="2" fillId="0" borderId="0" xfId="208" applyFont="1" applyBorder="1" applyAlignment="1" applyProtection="1">
      <alignment horizontal="left" vertical="center"/>
    </xf>
    <xf numFmtId="0" fontId="2" fillId="0" borderId="40" xfId="208" applyFont="1" applyBorder="1" applyAlignment="1" applyProtection="1">
      <alignment horizontal="left" vertical="center"/>
    </xf>
    <xf numFmtId="0" fontId="148" fillId="0" borderId="12" xfId="429" applyFont="1" applyBorder="1" applyAlignment="1" applyProtection="1">
      <alignment vertical="center"/>
    </xf>
    <xf numFmtId="0" fontId="148" fillId="0" borderId="11" xfId="429" applyFont="1" applyBorder="1" applyAlignment="1" applyProtection="1">
      <alignment vertical="center"/>
    </xf>
    <xf numFmtId="0" fontId="148" fillId="0" borderId="10" xfId="429" applyFont="1" applyBorder="1" applyAlignment="1" applyProtection="1">
      <alignment vertical="center"/>
    </xf>
    <xf numFmtId="0" fontId="148" fillId="0" borderId="57" xfId="429" applyFont="1" applyBorder="1" applyAlignment="1" applyProtection="1">
      <alignment vertical="center"/>
    </xf>
    <xf numFmtId="0" fontId="2" fillId="0" borderId="235" xfId="208" applyFont="1" applyBorder="1" applyAlignment="1" applyProtection="1">
      <alignment horizontal="left" vertical="center"/>
    </xf>
    <xf numFmtId="0" fontId="2" fillId="0" borderId="233" xfId="208" applyFont="1" applyBorder="1" applyAlignment="1" applyProtection="1">
      <alignment horizontal="left" vertical="center"/>
    </xf>
    <xf numFmtId="0" fontId="2" fillId="0" borderId="235" xfId="208" applyFont="1" applyBorder="1" applyAlignment="1" applyProtection="1">
      <alignment horizontal="left" vertical="center" wrapText="1"/>
    </xf>
    <xf numFmtId="0" fontId="2" fillId="0" borderId="17" xfId="208" applyFont="1" applyBorder="1" applyAlignment="1" applyProtection="1">
      <alignment horizontal="left" vertical="center"/>
    </xf>
    <xf numFmtId="0" fontId="2" fillId="0" borderId="233" xfId="208" applyFont="1" applyBorder="1" applyAlignment="1" applyProtection="1">
      <alignment horizontal="left" vertical="center" wrapText="1"/>
    </xf>
    <xf numFmtId="0" fontId="2" fillId="0" borderId="243" xfId="208" applyFont="1" applyBorder="1" applyAlignment="1" applyProtection="1">
      <alignment horizontal="left" vertical="center"/>
    </xf>
    <xf numFmtId="0" fontId="10" fillId="28" borderId="0" xfId="21" applyFont="1" applyFill="1" applyAlignment="1" applyProtection="1">
      <alignment horizontal="left" vertical="center"/>
      <protection locked="0"/>
    </xf>
    <xf numFmtId="0" fontId="10" fillId="2" borderId="0" xfId="21" applyFont="1" applyFill="1" applyAlignment="1" applyProtection="1">
      <alignment horizontal="left" vertical="center"/>
      <protection locked="0"/>
    </xf>
    <xf numFmtId="0" fontId="10" fillId="2" borderId="0" xfId="21" applyFont="1" applyFill="1" applyAlignment="1" applyProtection="1">
      <alignment horizontal="center" vertical="center"/>
      <protection locked="0"/>
    </xf>
    <xf numFmtId="0" fontId="1" fillId="27" borderId="20" xfId="1" applyFont="1" applyFill="1" applyBorder="1" applyProtection="1"/>
    <xf numFmtId="0" fontId="1" fillId="27" borderId="0" xfId="1" applyFont="1" applyFill="1" applyBorder="1" applyAlignment="1" applyProtection="1"/>
    <xf numFmtId="0" fontId="2" fillId="27" borderId="0" xfId="1" applyFont="1" applyFill="1" applyBorder="1" applyAlignment="1" applyProtection="1"/>
    <xf numFmtId="0" fontId="1" fillId="27" borderId="0" xfId="1" applyFont="1" applyFill="1" applyBorder="1" applyProtection="1"/>
    <xf numFmtId="0" fontId="4" fillId="27" borderId="0" xfId="1" applyFont="1" applyFill="1" applyBorder="1" applyAlignment="1" applyProtection="1">
      <alignment vertical="center"/>
    </xf>
    <xf numFmtId="0" fontId="1" fillId="27" borderId="0" xfId="1" applyFont="1" applyFill="1" applyBorder="1" applyAlignment="1" applyProtection="1">
      <alignment horizontal="left"/>
    </xf>
    <xf numFmtId="15" fontId="3" fillId="27" borderId="0" xfId="1" applyNumberFormat="1" applyFont="1" applyFill="1" applyBorder="1" applyAlignment="1" applyProtection="1">
      <alignment horizontal="left"/>
    </xf>
    <xf numFmtId="15" fontId="3" fillId="27" borderId="19" xfId="1" applyNumberFormat="1" applyFont="1" applyFill="1" applyBorder="1" applyAlignment="1" applyProtection="1">
      <alignment horizontal="left"/>
    </xf>
    <xf numFmtId="0" fontId="1" fillId="27" borderId="0" xfId="1" applyFont="1" applyFill="1" applyBorder="1" applyAlignment="1" applyProtection="1">
      <alignment vertical="center"/>
    </xf>
    <xf numFmtId="0" fontId="1" fillId="27" borderId="19" xfId="1" applyFont="1" applyFill="1" applyBorder="1" applyAlignment="1" applyProtection="1">
      <alignment vertical="center"/>
    </xf>
    <xf numFmtId="15" fontId="3" fillId="27" borderId="0" xfId="1" applyNumberFormat="1" applyFont="1" applyFill="1" applyBorder="1" applyAlignment="1" applyProtection="1">
      <alignment horizontal="left" vertical="center"/>
    </xf>
    <xf numFmtId="15" fontId="3" fillId="27" borderId="19" xfId="1" applyNumberFormat="1" applyFont="1" applyFill="1" applyBorder="1" applyAlignment="1" applyProtection="1">
      <alignment horizontal="left" vertical="center"/>
    </xf>
    <xf numFmtId="0" fontId="1" fillId="27" borderId="20" xfId="1" applyFont="1" applyFill="1" applyBorder="1" applyAlignment="1" applyProtection="1">
      <alignment vertical="center"/>
    </xf>
    <xf numFmtId="0" fontId="2" fillId="27" borderId="0" xfId="1" applyFont="1" applyFill="1" applyBorder="1" applyAlignment="1" applyProtection="1">
      <alignment vertical="center"/>
    </xf>
    <xf numFmtId="0" fontId="1" fillId="27" borderId="0" xfId="1" applyFont="1" applyFill="1" applyBorder="1" applyAlignment="1" applyProtection="1">
      <alignment horizontal="left" vertical="center"/>
    </xf>
    <xf numFmtId="0" fontId="74" fillId="2" borderId="67" xfId="150" applyFont="1" applyFill="1" applyBorder="1" applyProtection="1"/>
    <xf numFmtId="0" fontId="74" fillId="2" borderId="68" xfId="150" applyFont="1" applyFill="1" applyBorder="1" applyProtection="1"/>
    <xf numFmtId="49" fontId="1" fillId="2" borderId="68" xfId="150" applyNumberFormat="1" applyFont="1" applyFill="1" applyBorder="1" applyAlignment="1" applyProtection="1">
      <alignment horizontal="left"/>
    </xf>
    <xf numFmtId="49" fontId="1" fillId="2" borderId="69" xfId="150" applyNumberFormat="1" applyFont="1" applyFill="1" applyBorder="1" applyAlignment="1" applyProtection="1">
      <alignment horizontal="left"/>
    </xf>
    <xf numFmtId="0" fontId="74" fillId="2" borderId="20" xfId="150" applyFont="1" applyFill="1" applyBorder="1" applyProtection="1"/>
    <xf numFmtId="0" fontId="4" fillId="2" borderId="0" xfId="150" applyFont="1" applyFill="1" applyBorder="1" applyProtection="1"/>
    <xf numFmtId="0" fontId="4" fillId="2" borderId="0" xfId="150" applyFont="1" applyFill="1" applyBorder="1" applyAlignment="1" applyProtection="1"/>
    <xf numFmtId="0" fontId="5" fillId="27" borderId="0" xfId="150" applyFont="1" applyFill="1" applyBorder="1" applyAlignment="1" applyProtection="1">
      <alignment horizontal="center" vertical="center" wrapText="1"/>
    </xf>
    <xf numFmtId="49" fontId="1" fillId="2" borderId="19" xfId="150" applyNumberFormat="1" applyFont="1" applyFill="1" applyBorder="1" applyAlignment="1" applyProtection="1">
      <alignment horizontal="left"/>
    </xf>
    <xf numFmtId="0" fontId="1" fillId="2" borderId="20" xfId="150" applyFont="1" applyFill="1" applyBorder="1" applyProtection="1"/>
    <xf numFmtId="0" fontId="1" fillId="2" borderId="19" xfId="150" applyFont="1" applyFill="1" applyBorder="1" applyAlignment="1" applyProtection="1">
      <alignment horizontal="centerContinuous"/>
    </xf>
    <xf numFmtId="0" fontId="1" fillId="2" borderId="0" xfId="150" applyFont="1" applyFill="1" applyBorder="1" applyAlignment="1" applyProtection="1">
      <alignment horizontal="left"/>
    </xf>
    <xf numFmtId="0" fontId="1" fillId="2" borderId="0" xfId="150" applyFont="1" applyFill="1" applyBorder="1" applyProtection="1"/>
    <xf numFmtId="0" fontId="66" fillId="2" borderId="0" xfId="150" applyFont="1" applyFill="1" applyBorder="1" applyProtection="1"/>
    <xf numFmtId="0" fontId="59" fillId="2" borderId="20" xfId="150" applyFont="1" applyFill="1" applyBorder="1" applyProtection="1"/>
    <xf numFmtId="0" fontId="59" fillId="2" borderId="0" xfId="150" applyFont="1" applyFill="1" applyBorder="1" applyProtection="1"/>
    <xf numFmtId="1" fontId="56" fillId="27" borderId="0" xfId="150" applyNumberFormat="1" applyFont="1" applyFill="1" applyBorder="1" applyAlignment="1" applyProtection="1">
      <alignment horizontal="center"/>
    </xf>
    <xf numFmtId="167" fontId="1" fillId="2" borderId="19" xfId="150" applyNumberFormat="1" applyFont="1" applyFill="1" applyBorder="1" applyAlignment="1" applyProtection="1">
      <alignment horizontal="center"/>
    </xf>
    <xf numFmtId="167" fontId="2" fillId="0" borderId="0" xfId="150" applyNumberFormat="1" applyFont="1" applyFill="1" applyBorder="1" applyAlignment="1" applyProtection="1">
      <alignment horizontal="center"/>
    </xf>
    <xf numFmtId="167" fontId="2" fillId="27" borderId="0" xfId="150" applyNumberFormat="1" applyFont="1" applyFill="1" applyBorder="1" applyAlignment="1" applyProtection="1">
      <alignment horizontal="center"/>
    </xf>
    <xf numFmtId="167" fontId="1" fillId="27" borderId="19" xfId="150" applyNumberFormat="1" applyFont="1" applyFill="1" applyBorder="1" applyAlignment="1" applyProtection="1">
      <alignment horizontal="center"/>
    </xf>
    <xf numFmtId="0" fontId="1" fillId="2" borderId="19" xfId="150" applyFont="1" applyFill="1" applyBorder="1" applyProtection="1"/>
    <xf numFmtId="174" fontId="89" fillId="2" borderId="0" xfId="150" applyNumberFormat="1" applyFont="1" applyFill="1" applyBorder="1" applyAlignment="1" applyProtection="1">
      <alignment horizontal="left"/>
    </xf>
    <xf numFmtId="0" fontId="59" fillId="2" borderId="0" xfId="150" applyFont="1" applyFill="1" applyBorder="1" applyAlignment="1" applyProtection="1">
      <alignment horizontal="centerContinuous"/>
    </xf>
    <xf numFmtId="0" fontId="2" fillId="2" borderId="0" xfId="150" applyFont="1" applyFill="1" applyBorder="1" applyAlignment="1" applyProtection="1">
      <alignment vertical="center"/>
    </xf>
    <xf numFmtId="2" fontId="1" fillId="2" borderId="19" xfId="150" applyNumberFormat="1" applyFont="1" applyFill="1" applyBorder="1" applyAlignment="1" applyProtection="1">
      <alignment horizontal="center" vertical="center"/>
    </xf>
    <xf numFmtId="2" fontId="1" fillId="2" borderId="56" xfId="150" applyNumberFormat="1" applyFont="1" applyFill="1" applyBorder="1" applyAlignment="1" applyProtection="1">
      <alignment horizontal="center" vertical="center"/>
    </xf>
    <xf numFmtId="0" fontId="1" fillId="2" borderId="19" xfId="150" applyFont="1" applyFill="1" applyBorder="1" applyAlignment="1" applyProtection="1">
      <alignment horizontal="center"/>
    </xf>
    <xf numFmtId="2" fontId="1" fillId="2" borderId="19" xfId="150" applyNumberFormat="1" applyFont="1" applyFill="1" applyBorder="1" applyAlignment="1" applyProtection="1">
      <alignment horizontal="center"/>
    </xf>
    <xf numFmtId="0" fontId="4" fillId="2" borderId="0" xfId="210" applyFont="1" applyFill="1" applyBorder="1" applyAlignment="1" applyProtection="1">
      <alignment vertical="center"/>
    </xf>
    <xf numFmtId="0" fontId="4" fillId="2" borderId="0" xfId="150" applyFont="1" applyFill="1" applyBorder="1" applyAlignment="1" applyProtection="1">
      <alignment vertical="center"/>
    </xf>
    <xf numFmtId="0" fontId="16" fillId="2" borderId="0" xfId="210" applyFont="1" applyFill="1" applyBorder="1" applyProtection="1"/>
    <xf numFmtId="0" fontId="16" fillId="2" borderId="0" xfId="210" applyFont="1" applyFill="1" applyBorder="1" applyAlignment="1" applyProtection="1">
      <alignment horizontal="left"/>
    </xf>
    <xf numFmtId="0" fontId="1" fillId="2" borderId="0" xfId="210" applyFont="1" applyFill="1" applyBorder="1" applyProtection="1"/>
    <xf numFmtId="0" fontId="51" fillId="0" borderId="0" xfId="21" applyFont="1" applyFill="1" applyBorder="1" applyAlignment="1" applyProtection="1">
      <alignment horizontal="center" vertical="center"/>
    </xf>
    <xf numFmtId="0" fontId="1" fillId="0" borderId="0" xfId="21" applyFont="1" applyFill="1" applyProtection="1"/>
    <xf numFmtId="0" fontId="2" fillId="0" borderId="0" xfId="21" applyFont="1" applyFill="1" applyBorder="1" applyAlignment="1" applyProtection="1">
      <alignment horizontal="left" vertical="center" wrapText="1"/>
    </xf>
    <xf numFmtId="0" fontId="43" fillId="0" borderId="0" xfId="21" applyFont="1" applyFill="1" applyBorder="1" applyAlignment="1" applyProtection="1">
      <alignment vertical="center"/>
    </xf>
    <xf numFmtId="0" fontId="3" fillId="0" borderId="0" xfId="21" applyFont="1" applyFill="1" applyBorder="1" applyAlignment="1" applyProtection="1">
      <alignment horizontal="left"/>
    </xf>
    <xf numFmtId="0" fontId="3" fillId="0" borderId="0" xfId="21" applyFont="1" applyFill="1" applyBorder="1" applyAlignment="1" applyProtection="1">
      <alignment horizontal="center"/>
    </xf>
    <xf numFmtId="189" fontId="3" fillId="0" borderId="0" xfId="21" applyNumberFormat="1" applyFont="1" applyFill="1" applyBorder="1" applyAlignment="1" applyProtection="1">
      <alignment horizontal="center"/>
    </xf>
    <xf numFmtId="0" fontId="1" fillId="0" borderId="0" xfId="21" applyFont="1" applyFill="1" applyAlignment="1" applyProtection="1">
      <alignment vertical="center"/>
    </xf>
    <xf numFmtId="0" fontId="1" fillId="0" borderId="0" xfId="74" applyFont="1" applyFill="1" applyProtection="1"/>
    <xf numFmtId="0" fontId="49" fillId="0" borderId="0" xfId="217" applyFont="1" applyBorder="1" applyProtection="1"/>
    <xf numFmtId="0" fontId="1" fillId="0" borderId="0" xfId="21" applyFont="1" applyFill="1" applyBorder="1" applyProtection="1"/>
    <xf numFmtId="0" fontId="1" fillId="0" borderId="0" xfId="208" applyProtection="1"/>
    <xf numFmtId="0" fontId="4" fillId="0" borderId="0" xfId="208" applyFont="1" applyBorder="1" applyAlignment="1" applyProtection="1">
      <alignment horizontal="left"/>
    </xf>
    <xf numFmtId="0" fontId="4" fillId="0" borderId="0" xfId="208" applyFont="1" applyBorder="1" applyProtection="1"/>
    <xf numFmtId="0" fontId="5" fillId="0" borderId="0" xfId="208" applyFont="1" applyBorder="1" applyAlignment="1" applyProtection="1">
      <alignment vertical="center" wrapText="1"/>
    </xf>
    <xf numFmtId="0" fontId="4" fillId="0" borderId="18" xfId="208" applyFont="1" applyBorder="1" applyAlignment="1" applyProtection="1">
      <alignment horizontal="center"/>
    </xf>
    <xf numFmtId="0" fontId="4" fillId="0" borderId="19" xfId="208" applyFont="1" applyBorder="1" applyProtection="1"/>
    <xf numFmtId="0" fontId="5" fillId="0" borderId="0" xfId="208" applyFont="1" applyFill="1" applyBorder="1" applyAlignment="1" applyProtection="1">
      <alignment horizontal="center" vertical="center" wrapText="1"/>
    </xf>
    <xf numFmtId="0" fontId="4" fillId="0" borderId="0" xfId="208" applyFont="1" applyFill="1" applyBorder="1" applyAlignment="1" applyProtection="1">
      <alignment horizontal="center"/>
    </xf>
    <xf numFmtId="0" fontId="4" fillId="0" borderId="0" xfId="208" applyFont="1" applyFill="1" applyBorder="1" applyAlignment="1" applyProtection="1"/>
    <xf numFmtId="0" fontId="4" fillId="2" borderId="36" xfId="150" applyFont="1" applyFill="1" applyBorder="1" applyAlignment="1" applyProtection="1">
      <alignment horizontal="center" vertical="center"/>
    </xf>
    <xf numFmtId="0" fontId="1" fillId="0" borderId="37" xfId="429" applyFont="1" applyBorder="1" applyProtection="1"/>
    <xf numFmtId="0" fontId="3" fillId="2" borderId="38" xfId="427" applyFont="1" applyFill="1" applyBorder="1" applyAlignment="1" applyProtection="1">
      <alignment horizontal="center" vertical="center"/>
    </xf>
    <xf numFmtId="0" fontId="1" fillId="0" borderId="38" xfId="429" applyFont="1" applyBorder="1" applyProtection="1"/>
    <xf numFmtId="0" fontId="1" fillId="0" borderId="37" xfId="429" applyFont="1" applyBorder="1" applyAlignment="1" applyProtection="1">
      <alignment vertical="center"/>
    </xf>
    <xf numFmtId="0" fontId="1" fillId="0" borderId="38" xfId="429" applyFont="1" applyBorder="1" applyAlignment="1" applyProtection="1">
      <alignment vertical="center"/>
    </xf>
    <xf numFmtId="0" fontId="4" fillId="0" borderId="0" xfId="429" applyFont="1" applyBorder="1" applyProtection="1"/>
    <xf numFmtId="173" fontId="4" fillId="27" borderId="0" xfId="429" applyNumberFormat="1" applyFont="1" applyFill="1" applyBorder="1" applyAlignment="1" applyProtection="1">
      <alignment horizontal="center" vertical="center"/>
    </xf>
    <xf numFmtId="0" fontId="4" fillId="0" borderId="38" xfId="429" applyFont="1" applyFill="1" applyBorder="1" applyAlignment="1" applyProtection="1">
      <alignment vertical="center"/>
    </xf>
    <xf numFmtId="173" fontId="4" fillId="0" borderId="0" xfId="429" applyNumberFormat="1" applyFont="1" applyFill="1" applyBorder="1" applyAlignment="1" applyProtection="1">
      <alignment horizontal="center" vertical="center"/>
    </xf>
    <xf numFmtId="173" fontId="4" fillId="0" borderId="38" xfId="429" applyNumberFormat="1" applyFont="1" applyFill="1" applyBorder="1" applyAlignment="1" applyProtection="1">
      <alignment horizontal="center" vertical="center"/>
    </xf>
    <xf numFmtId="0" fontId="127" fillId="0" borderId="0" xfId="429" applyFont="1" applyAlignment="1" applyProtection="1">
      <alignment vertical="center"/>
    </xf>
    <xf numFmtId="0" fontId="127" fillId="0" borderId="0" xfId="429" applyFont="1" applyProtection="1"/>
    <xf numFmtId="167" fontId="4" fillId="2" borderId="0" xfId="429" applyNumberFormat="1" applyFont="1" applyFill="1" applyBorder="1" applyAlignment="1" applyProtection="1">
      <alignment horizontal="center" vertical="center"/>
    </xf>
    <xf numFmtId="0" fontId="4" fillId="0" borderId="38" xfId="429" applyFont="1" applyFill="1" applyBorder="1" applyAlignment="1" applyProtection="1">
      <alignment horizontal="center" vertical="center"/>
    </xf>
    <xf numFmtId="0" fontId="4" fillId="2" borderId="0" xfId="429" applyFont="1" applyFill="1" applyBorder="1" applyAlignment="1" applyProtection="1">
      <alignment horizontal="left" vertical="center" indent="2"/>
    </xf>
    <xf numFmtId="192" fontId="5" fillId="0" borderId="38" xfId="429" applyNumberFormat="1" applyFont="1" applyFill="1" applyBorder="1" applyAlignment="1" applyProtection="1">
      <alignment horizontal="center" vertical="center"/>
    </xf>
    <xf numFmtId="0" fontId="4" fillId="2" borderId="0" xfId="429" applyFont="1" applyFill="1" applyBorder="1" applyAlignment="1" applyProtection="1">
      <alignment vertical="center"/>
    </xf>
    <xf numFmtId="167" fontId="4" fillId="0" borderId="38" xfId="429" applyNumberFormat="1" applyFont="1" applyFill="1" applyBorder="1" applyAlignment="1" applyProtection="1">
      <alignment horizontal="center" vertical="center"/>
    </xf>
    <xf numFmtId="0" fontId="4" fillId="2" borderId="0" xfId="429" applyFont="1" applyFill="1" applyBorder="1" applyAlignment="1" applyProtection="1">
      <alignment horizontal="center" vertical="center"/>
    </xf>
    <xf numFmtId="0" fontId="1" fillId="0" borderId="39" xfId="429" applyFont="1" applyBorder="1" applyProtection="1"/>
    <xf numFmtId="0" fontId="2" fillId="2" borderId="40" xfId="429" applyFont="1" applyFill="1" applyBorder="1" applyAlignment="1" applyProtection="1">
      <alignment vertical="center"/>
    </xf>
    <xf numFmtId="0" fontId="1" fillId="2" borderId="40" xfId="429" applyFont="1" applyFill="1" applyBorder="1" applyAlignment="1" applyProtection="1">
      <alignment vertical="center"/>
    </xf>
    <xf numFmtId="167" fontId="2" fillId="2" borderId="40" xfId="429" applyNumberFormat="1" applyFont="1" applyFill="1" applyBorder="1" applyAlignment="1" applyProtection="1">
      <alignment horizontal="center" vertical="center"/>
    </xf>
    <xf numFmtId="167" fontId="2" fillId="0" borderId="40" xfId="429" applyNumberFormat="1" applyFont="1" applyFill="1" applyBorder="1" applyAlignment="1" applyProtection="1">
      <alignment horizontal="center" vertical="center"/>
    </xf>
    <xf numFmtId="167" fontId="2" fillId="0" borderId="41" xfId="429" applyNumberFormat="1" applyFont="1" applyFill="1" applyBorder="1" applyAlignment="1" applyProtection="1">
      <alignment horizontal="center" vertical="center"/>
    </xf>
    <xf numFmtId="0" fontId="5" fillId="27" borderId="0" xfId="68" applyFont="1" applyFill="1" applyBorder="1" applyAlignment="1" applyProtection="1">
      <alignment vertical="center"/>
    </xf>
    <xf numFmtId="0" fontId="5" fillId="27" borderId="19" xfId="68" applyFont="1" applyFill="1" applyBorder="1" applyAlignment="1" applyProtection="1">
      <alignment vertical="center"/>
    </xf>
    <xf numFmtId="0" fontId="110" fillId="2" borderId="0" xfId="427" applyFont="1" applyFill="1" applyAlignment="1" applyProtection="1"/>
    <xf numFmtId="0" fontId="110" fillId="2" borderId="0" xfId="427" applyFont="1" applyFill="1" applyAlignment="1" applyProtection="1">
      <alignment vertical="center"/>
    </xf>
    <xf numFmtId="0" fontId="110" fillId="2" borderId="57" xfId="427" applyFont="1" applyFill="1" applyBorder="1" applyAlignment="1" applyProtection="1">
      <alignment horizontal="center" vertical="center"/>
    </xf>
    <xf numFmtId="0" fontId="110" fillId="2" borderId="0" xfId="427" applyFont="1" applyFill="1" applyProtection="1"/>
    <xf numFmtId="0" fontId="110" fillId="2" borderId="0" xfId="427" applyFont="1" applyFill="1" applyAlignment="1" applyProtection="1">
      <alignment wrapText="1"/>
    </xf>
    <xf numFmtId="167" fontId="150" fillId="0" borderId="0" xfId="429" applyNumberFormat="1" applyFont="1" applyBorder="1" applyAlignment="1" applyProtection="1">
      <alignment vertical="center"/>
    </xf>
    <xf numFmtId="0" fontId="150" fillId="0" borderId="0" xfId="429" applyFont="1" applyAlignment="1" applyProtection="1">
      <alignment vertical="center"/>
    </xf>
    <xf numFmtId="0" fontId="2" fillId="27" borderId="13" xfId="208" applyFont="1" applyFill="1" applyBorder="1" applyProtection="1"/>
    <xf numFmtId="0" fontId="5" fillId="25" borderId="30" xfId="208" applyFont="1" applyFill="1" applyBorder="1" applyProtection="1"/>
    <xf numFmtId="0" fontId="5" fillId="25" borderId="63" xfId="208" applyFont="1" applyFill="1" applyBorder="1" applyProtection="1"/>
    <xf numFmtId="0" fontId="4" fillId="0" borderId="0" xfId="68" applyFont="1" applyBorder="1" applyAlignment="1" applyProtection="1"/>
    <xf numFmtId="0" fontId="4" fillId="0" borderId="0" xfId="68" applyFont="1" applyBorder="1" applyProtection="1"/>
    <xf numFmtId="0" fontId="4" fillId="0" borderId="38" xfId="68" applyFont="1" applyBorder="1" applyAlignment="1" applyProtection="1">
      <alignment horizontal="center"/>
    </xf>
    <xf numFmtId="0" fontId="1" fillId="0" borderId="0" xfId="208" applyFill="1" applyBorder="1" applyAlignment="1" applyProtection="1">
      <alignment vertical="center" wrapText="1"/>
    </xf>
    <xf numFmtId="0" fontId="1" fillId="0" borderId="0" xfId="208" applyFill="1" applyProtection="1"/>
    <xf numFmtId="0" fontId="1" fillId="34" borderId="0" xfId="208" applyFill="1" applyProtection="1"/>
    <xf numFmtId="0" fontId="111" fillId="2" borderId="0" xfId="208" applyFont="1" applyFill="1" applyProtection="1"/>
    <xf numFmtId="0" fontId="1" fillId="0" borderId="0" xfId="208" applyFill="1" applyBorder="1" applyProtection="1"/>
    <xf numFmtId="0" fontId="1" fillId="34" borderId="0" xfId="208" applyFill="1" applyBorder="1" applyProtection="1"/>
    <xf numFmtId="0" fontId="112" fillId="2" borderId="114" xfId="208" applyFont="1" applyFill="1" applyBorder="1" applyAlignment="1" applyProtection="1">
      <alignment horizontal="center" vertical="center" wrapText="1"/>
    </xf>
    <xf numFmtId="0" fontId="112" fillId="2" borderId="115" xfId="208" applyFont="1" applyFill="1" applyBorder="1" applyAlignment="1" applyProtection="1">
      <alignment horizontal="center" vertical="center" wrapText="1"/>
    </xf>
    <xf numFmtId="1" fontId="113" fillId="2" borderId="118" xfId="208" applyNumberFormat="1" applyFont="1" applyFill="1" applyBorder="1" applyAlignment="1" applyProtection="1">
      <alignment horizontal="center"/>
    </xf>
    <xf numFmtId="167" fontId="113" fillId="2" borderId="119" xfId="208" applyNumberFormat="1" applyFont="1" applyFill="1" applyBorder="1" applyAlignment="1" applyProtection="1">
      <alignment horizontal="center"/>
    </xf>
    <xf numFmtId="1" fontId="113" fillId="2" borderId="116" xfId="208" applyNumberFormat="1" applyFont="1" applyFill="1" applyBorder="1" applyAlignment="1" applyProtection="1">
      <alignment horizontal="center"/>
    </xf>
    <xf numFmtId="167" fontId="113" fillId="2" borderId="117" xfId="208" applyNumberFormat="1" applyFont="1" applyFill="1" applyBorder="1" applyAlignment="1" applyProtection="1">
      <alignment horizontal="center"/>
    </xf>
    <xf numFmtId="1" fontId="113" fillId="2" borderId="114" xfId="208" applyNumberFormat="1" applyFont="1" applyFill="1" applyBorder="1" applyAlignment="1" applyProtection="1">
      <alignment horizontal="center"/>
    </xf>
    <xf numFmtId="167" fontId="113" fillId="2" borderId="115" xfId="208" applyNumberFormat="1" applyFont="1" applyFill="1" applyBorder="1" applyAlignment="1" applyProtection="1">
      <alignment horizontal="center"/>
    </xf>
    <xf numFmtId="0" fontId="111" fillId="2" borderId="0" xfId="208" applyFont="1" applyFill="1" applyBorder="1" applyAlignment="1" applyProtection="1">
      <alignment horizontal="center"/>
    </xf>
    <xf numFmtId="0" fontId="111" fillId="2" borderId="120" xfId="208" applyFont="1" applyFill="1" applyBorder="1" applyAlignment="1" applyProtection="1">
      <alignment horizontal="center"/>
    </xf>
    <xf numFmtId="1" fontId="111" fillId="2" borderId="120" xfId="208" applyNumberFormat="1" applyFont="1" applyFill="1" applyBorder="1" applyAlignment="1" applyProtection="1">
      <alignment horizontal="center"/>
    </xf>
    <xf numFmtId="0" fontId="111" fillId="2" borderId="0" xfId="208" applyFont="1" applyFill="1" applyAlignment="1" applyProtection="1">
      <alignment horizontal="center"/>
    </xf>
    <xf numFmtId="0" fontId="2" fillId="2" borderId="0" xfId="208" applyFont="1" applyFill="1" applyAlignment="1" applyProtection="1"/>
    <xf numFmtId="0" fontId="109" fillId="37" borderId="132" xfId="208" applyFont="1" applyFill="1" applyBorder="1" applyAlignment="1" applyProtection="1">
      <alignment horizontal="center"/>
    </xf>
    <xf numFmtId="0" fontId="109" fillId="37" borderId="133" xfId="208" applyFont="1" applyFill="1" applyBorder="1" applyAlignment="1" applyProtection="1">
      <alignment horizontal="center"/>
    </xf>
    <xf numFmtId="0" fontId="117" fillId="37" borderId="127" xfId="208" applyFont="1" applyFill="1" applyBorder="1" applyAlignment="1" applyProtection="1">
      <alignment horizontal="center"/>
    </xf>
    <xf numFmtId="1" fontId="117" fillId="37" borderId="128" xfId="208" applyNumberFormat="1" applyFont="1" applyFill="1" applyBorder="1" applyAlignment="1" applyProtection="1">
      <alignment horizontal="center"/>
    </xf>
    <xf numFmtId="173" fontId="111" fillId="2" borderId="0" xfId="208" applyNumberFormat="1" applyFont="1" applyFill="1" applyProtection="1"/>
    <xf numFmtId="0" fontId="117" fillId="37" borderId="130" xfId="208" applyFont="1" applyFill="1" applyBorder="1" applyAlignment="1" applyProtection="1">
      <alignment horizontal="center"/>
    </xf>
    <xf numFmtId="1" fontId="117" fillId="37" borderId="0" xfId="208" applyNumberFormat="1" applyFont="1" applyFill="1" applyBorder="1" applyAlignment="1" applyProtection="1">
      <alignment horizontal="center"/>
    </xf>
    <xf numFmtId="0" fontId="117" fillId="37" borderId="132" xfId="208" applyFont="1" applyFill="1" applyBorder="1" applyAlignment="1" applyProtection="1">
      <alignment horizontal="center"/>
    </xf>
    <xf numFmtId="1" fontId="117" fillId="37" borderId="133" xfId="208" applyNumberFormat="1" applyFont="1" applyFill="1" applyBorder="1" applyAlignment="1" applyProtection="1">
      <alignment horizontal="center"/>
    </xf>
    <xf numFmtId="0" fontId="118" fillId="2" borderId="0" xfId="208" applyFont="1" applyFill="1" applyProtection="1"/>
    <xf numFmtId="0" fontId="66" fillId="2" borderId="0" xfId="208" applyFont="1" applyFill="1" applyProtection="1"/>
    <xf numFmtId="0" fontId="118" fillId="0" borderId="0" xfId="208" applyFont="1" applyProtection="1"/>
    <xf numFmtId="168" fontId="2" fillId="27" borderId="100" xfId="71" applyNumberFormat="1" applyFont="1" applyFill="1" applyBorder="1" applyAlignment="1" applyProtection="1">
      <alignment horizontal="left" vertical="center"/>
    </xf>
    <xf numFmtId="0" fontId="1" fillId="0" borderId="0" xfId="208" applyFont="1" applyBorder="1" applyProtection="1"/>
    <xf numFmtId="0" fontId="1" fillId="0" borderId="35" xfId="208" applyFont="1" applyBorder="1" applyProtection="1"/>
    <xf numFmtId="0" fontId="1" fillId="0" borderId="36" xfId="208" applyFont="1" applyBorder="1" applyProtection="1"/>
    <xf numFmtId="0" fontId="1" fillId="0" borderId="38" xfId="208" applyFont="1" applyBorder="1" applyProtection="1"/>
    <xf numFmtId="0" fontId="5" fillId="0" borderId="0" xfId="208" applyFont="1" applyBorder="1" applyProtection="1"/>
    <xf numFmtId="0" fontId="5" fillId="0" borderId="38" xfId="208" applyFont="1" applyBorder="1" applyProtection="1"/>
    <xf numFmtId="0" fontId="1" fillId="0" borderId="0" xfId="208" applyFont="1" applyFill="1" applyBorder="1" applyProtection="1"/>
    <xf numFmtId="0" fontId="1" fillId="0" borderId="17" xfId="208" applyFont="1" applyFill="1" applyBorder="1" applyProtection="1"/>
    <xf numFmtId="0" fontId="1" fillId="0" borderId="17" xfId="208" applyFont="1" applyBorder="1" applyProtection="1"/>
    <xf numFmtId="0" fontId="1" fillId="0" borderId="100" xfId="208" applyFont="1" applyBorder="1" applyProtection="1"/>
    <xf numFmtId="0" fontId="5" fillId="25" borderId="108" xfId="208" applyFont="1" applyFill="1" applyBorder="1" applyAlignment="1" applyProtection="1">
      <alignment horizontal="left" indent="2"/>
    </xf>
    <xf numFmtId="0" fontId="3" fillId="25" borderId="0" xfId="208" applyFont="1" applyFill="1" applyBorder="1" applyAlignment="1" applyProtection="1">
      <alignment horizontal="left" indent="2"/>
    </xf>
    <xf numFmtId="0" fontId="2" fillId="0" borderId="37" xfId="68" applyFont="1" applyBorder="1" applyAlignment="1" applyProtection="1"/>
    <xf numFmtId="0" fontId="44" fillId="0" borderId="0" xfId="68" applyFont="1" applyBorder="1" applyProtection="1"/>
    <xf numFmtId="0" fontId="2" fillId="0" borderId="0" xfId="68" applyFont="1" applyBorder="1" applyAlignment="1" applyProtection="1"/>
    <xf numFmtId="0" fontId="44" fillId="0" borderId="37" xfId="68" applyFont="1" applyBorder="1" applyProtection="1"/>
    <xf numFmtId="0" fontId="2" fillId="0" borderId="38" xfId="68" applyFont="1" applyBorder="1" applyAlignment="1" applyProtection="1">
      <alignment horizontal="center"/>
    </xf>
    <xf numFmtId="0" fontId="1" fillId="0" borderId="0" xfId="208" applyFill="1" applyBorder="1" applyAlignment="1" applyProtection="1">
      <alignment vertical="top"/>
    </xf>
    <xf numFmtId="0" fontId="1" fillId="0" borderId="0" xfId="208" applyFill="1" applyBorder="1" applyAlignment="1" applyProtection="1">
      <alignment vertical="center"/>
    </xf>
    <xf numFmtId="0" fontId="1" fillId="0" borderId="0" xfId="208" applyFill="1" applyBorder="1" applyAlignment="1" applyProtection="1">
      <alignment vertical="top" wrapText="1"/>
    </xf>
    <xf numFmtId="0" fontId="8" fillId="35" borderId="12" xfId="208" applyFont="1" applyFill="1" applyBorder="1" applyAlignment="1" applyProtection="1">
      <alignment horizontal="left" vertical="center"/>
    </xf>
    <xf numFmtId="0" fontId="1" fillId="35" borderId="11" xfId="208" applyFill="1" applyBorder="1" applyAlignment="1" applyProtection="1">
      <alignment horizontal="center" vertical="center" wrapText="1"/>
    </xf>
    <xf numFmtId="0" fontId="104" fillId="0" borderId="7" xfId="208" applyFont="1" applyBorder="1" applyAlignment="1" applyProtection="1">
      <alignment horizontal="left" vertical="center"/>
    </xf>
    <xf numFmtId="0" fontId="4" fillId="0" borderId="6" xfId="208" applyFont="1" applyBorder="1" applyAlignment="1" applyProtection="1">
      <alignment horizontal="center" vertical="center" wrapText="1"/>
    </xf>
    <xf numFmtId="0" fontId="1" fillId="0" borderId="6" xfId="208" applyBorder="1" applyAlignment="1" applyProtection="1">
      <alignment horizontal="center" vertical="center" wrapText="1"/>
    </xf>
    <xf numFmtId="0" fontId="104" fillId="0" borderId="2" xfId="208" applyFont="1" applyBorder="1" applyAlignment="1" applyProtection="1">
      <alignment horizontal="left" vertical="center"/>
    </xf>
    <xf numFmtId="0" fontId="104" fillId="0" borderId="104" xfId="208" applyFont="1" applyBorder="1" applyAlignment="1" applyProtection="1">
      <alignment horizontal="left" vertical="center"/>
    </xf>
    <xf numFmtId="0" fontId="4" fillId="0" borderId="4" xfId="208" applyFont="1" applyBorder="1" applyAlignment="1" applyProtection="1">
      <alignment horizontal="center" vertical="center" wrapText="1"/>
    </xf>
    <xf numFmtId="0" fontId="1" fillId="0" borderId="4" xfId="208" applyBorder="1" applyAlignment="1" applyProtection="1">
      <alignment horizontal="center" vertical="center" wrapText="1"/>
    </xf>
    <xf numFmtId="0" fontId="104" fillId="0" borderId="16" xfId="208" applyFont="1" applyBorder="1" applyAlignment="1" applyProtection="1">
      <alignment horizontal="left" vertical="center"/>
    </xf>
    <xf numFmtId="0" fontId="104" fillId="0" borderId="17" xfId="208" applyFont="1" applyBorder="1" applyAlignment="1" applyProtection="1">
      <alignment horizontal="left" vertical="center"/>
    </xf>
    <xf numFmtId="0" fontId="4" fillId="0" borderId="17" xfId="208" applyFont="1" applyBorder="1" applyAlignment="1" applyProtection="1">
      <alignment horizontal="center" vertical="center" wrapText="1"/>
    </xf>
    <xf numFmtId="0" fontId="1" fillId="0" borderId="17" xfId="208" applyBorder="1" applyAlignment="1" applyProtection="1">
      <alignment horizontal="center" vertical="center" wrapText="1"/>
    </xf>
    <xf numFmtId="0" fontId="1" fillId="0" borderId="17" xfId="208" applyBorder="1" applyAlignment="1" applyProtection="1">
      <alignment horizontal="right" vertical="center" wrapText="1"/>
    </xf>
    <xf numFmtId="0" fontId="1" fillId="30" borderId="13" xfId="208" applyFill="1" applyBorder="1" applyAlignment="1" applyProtection="1">
      <alignment horizontal="center" vertical="center" wrapText="1"/>
    </xf>
    <xf numFmtId="0" fontId="1" fillId="0" borderId="16" xfId="208" applyFont="1" applyBorder="1" applyAlignment="1" applyProtection="1">
      <alignment horizontal="left" vertical="center"/>
    </xf>
    <xf numFmtId="0" fontId="1" fillId="0" borderId="17" xfId="208" applyBorder="1" applyAlignment="1" applyProtection="1">
      <alignment horizontal="center"/>
    </xf>
    <xf numFmtId="0" fontId="1" fillId="0" borderId="17" xfId="208" applyFill="1" applyBorder="1" applyProtection="1"/>
    <xf numFmtId="0" fontId="1" fillId="0" borderId="17" xfId="208" applyFill="1" applyBorder="1" applyAlignment="1" applyProtection="1">
      <alignment horizontal="right"/>
    </xf>
    <xf numFmtId="0" fontId="1" fillId="0" borderId="7" xfId="208" applyFont="1" applyBorder="1" applyAlignment="1" applyProtection="1">
      <alignment horizontal="left" vertical="center"/>
    </xf>
    <xf numFmtId="0" fontId="4" fillId="0" borderId="6" xfId="208" applyFont="1" applyBorder="1" applyAlignment="1" applyProtection="1">
      <alignment horizontal="center"/>
    </xf>
    <xf numFmtId="0" fontId="4" fillId="0" borderId="6" xfId="208" applyFont="1" applyFill="1" applyBorder="1" applyProtection="1"/>
    <xf numFmtId="0" fontId="1" fillId="0" borderId="6" xfId="208" applyFont="1" applyFill="1" applyBorder="1" applyAlignment="1" applyProtection="1">
      <alignment horizontal="right"/>
    </xf>
    <xf numFmtId="0" fontId="1" fillId="0" borderId="2" xfId="208" applyFont="1" applyBorder="1" applyAlignment="1" applyProtection="1">
      <alignment horizontal="left" vertical="center"/>
    </xf>
    <xf numFmtId="0" fontId="4" fillId="0" borderId="4" xfId="208" applyFont="1" applyBorder="1" applyAlignment="1" applyProtection="1">
      <alignment horizontal="center"/>
    </xf>
    <xf numFmtId="0" fontId="4" fillId="0" borderId="4" xfId="208" applyFont="1" applyFill="1" applyBorder="1" applyProtection="1"/>
    <xf numFmtId="0" fontId="1" fillId="0" borderId="4" xfId="208" applyFont="1" applyFill="1" applyBorder="1" applyAlignment="1" applyProtection="1">
      <alignment horizontal="right"/>
    </xf>
    <xf numFmtId="0" fontId="1" fillId="0" borderId="20" xfId="208" applyFont="1" applyFill="1" applyBorder="1" applyAlignment="1" applyProtection="1">
      <alignment horizontal="left" vertical="center"/>
    </xf>
    <xf numFmtId="0" fontId="1" fillId="0" borderId="0" xfId="208" applyFont="1" applyFill="1" applyBorder="1" applyAlignment="1" applyProtection="1"/>
    <xf numFmtId="0" fontId="1" fillId="0" borderId="0" xfId="208" applyFill="1" applyBorder="1" applyAlignment="1" applyProtection="1"/>
    <xf numFmtId="0" fontId="1" fillId="0" borderId="0" xfId="208" applyBorder="1" applyAlignment="1" applyProtection="1">
      <alignment vertical="center" wrapText="1"/>
    </xf>
    <xf numFmtId="0" fontId="4" fillId="0" borderId="0" xfId="208" applyFont="1" applyFill="1" applyBorder="1" applyAlignment="1" applyProtection="1">
      <alignment horizontal="right"/>
    </xf>
    <xf numFmtId="0" fontId="1" fillId="0" borderId="54" xfId="208" applyFont="1" applyFill="1" applyBorder="1" applyAlignment="1" applyProtection="1">
      <alignment horizontal="left" vertical="center"/>
    </xf>
    <xf numFmtId="0" fontId="4" fillId="0" borderId="66" xfId="208" applyFont="1" applyFill="1" applyBorder="1" applyAlignment="1" applyProtection="1">
      <alignment horizontal="right"/>
    </xf>
    <xf numFmtId="0" fontId="1" fillId="0" borderId="49" xfId="208" applyFont="1" applyBorder="1" applyAlignment="1" applyProtection="1">
      <alignment horizontal="left" vertical="center"/>
    </xf>
    <xf numFmtId="0" fontId="1" fillId="0" borderId="50" xfId="208" applyBorder="1" applyProtection="1"/>
    <xf numFmtId="0" fontId="4" fillId="0" borderId="50" xfId="208" applyFont="1" applyBorder="1" applyAlignment="1" applyProtection="1">
      <alignment horizontal="center"/>
    </xf>
    <xf numFmtId="0" fontId="4" fillId="0" borderId="50" xfId="208" applyFont="1" applyFill="1" applyBorder="1" applyProtection="1"/>
    <xf numFmtId="0" fontId="1" fillId="0" borderId="50" xfId="208" applyFont="1" applyFill="1" applyBorder="1" applyAlignment="1" applyProtection="1">
      <alignment horizontal="right"/>
    </xf>
    <xf numFmtId="0" fontId="1" fillId="0" borderId="6" xfId="208" applyBorder="1" applyProtection="1"/>
    <xf numFmtId="0" fontId="1" fillId="0" borderId="17" xfId="208" applyBorder="1" applyProtection="1"/>
    <xf numFmtId="0" fontId="4" fillId="0" borderId="17" xfId="208" applyFont="1" applyBorder="1" applyAlignment="1" applyProtection="1">
      <alignment horizontal="center"/>
    </xf>
    <xf numFmtId="0" fontId="4" fillId="0" borderId="17" xfId="208" applyFont="1" applyFill="1" applyBorder="1" applyProtection="1"/>
    <xf numFmtId="0" fontId="1" fillId="0" borderId="17" xfId="208" applyFont="1" applyFill="1" applyBorder="1" applyAlignment="1" applyProtection="1">
      <alignment horizontal="right"/>
    </xf>
    <xf numFmtId="0" fontId="43" fillId="27" borderId="16" xfId="71" applyFont="1" applyFill="1" applyBorder="1" applyAlignment="1" applyProtection="1">
      <alignment vertical="center"/>
    </xf>
    <xf numFmtId="0" fontId="1" fillId="0" borderId="137" xfId="208" applyFont="1" applyBorder="1" applyProtection="1"/>
    <xf numFmtId="0" fontId="2" fillId="0" borderId="0" xfId="208" applyFont="1" applyBorder="1" applyAlignment="1" applyProtection="1"/>
    <xf numFmtId="0" fontId="5" fillId="0" borderId="19" xfId="208" applyFont="1" applyBorder="1" applyAlignment="1" applyProtection="1">
      <alignment horizontal="center" vertical="center"/>
    </xf>
    <xf numFmtId="0" fontId="2" fillId="0" borderId="17" xfId="208" applyFont="1" applyBorder="1" applyAlignment="1" applyProtection="1"/>
    <xf numFmtId="0" fontId="5" fillId="0" borderId="15" xfId="208" applyFont="1" applyBorder="1" applyAlignment="1" applyProtection="1">
      <alignment horizontal="center" vertical="center"/>
    </xf>
    <xf numFmtId="0" fontId="1" fillId="0" borderId="19" xfId="208" applyFont="1" applyBorder="1" applyProtection="1"/>
    <xf numFmtId="0" fontId="2" fillId="0" borderId="20" xfId="208" applyFont="1" applyBorder="1" applyProtection="1"/>
    <xf numFmtId="0" fontId="2" fillId="0" borderId="16" xfId="208" applyFont="1" applyBorder="1" applyProtection="1"/>
    <xf numFmtId="0" fontId="1" fillId="0" borderId="17" xfId="208" applyBorder="1" applyAlignment="1" applyProtection="1">
      <alignment vertical="center" wrapText="1"/>
    </xf>
    <xf numFmtId="0" fontId="5" fillId="0" borderId="19" xfId="208" applyFont="1" applyBorder="1" applyProtection="1"/>
    <xf numFmtId="0" fontId="1" fillId="0" borderId="15" xfId="208" applyFont="1" applyBorder="1" applyProtection="1"/>
    <xf numFmtId="0" fontId="5" fillId="25" borderId="63" xfId="208" applyFont="1" applyFill="1" applyBorder="1" applyAlignment="1" applyProtection="1">
      <alignment horizontal="left" indent="2"/>
    </xf>
    <xf numFmtId="0" fontId="2" fillId="0" borderId="20" xfId="68" applyFont="1" applyBorder="1" applyAlignment="1" applyProtection="1"/>
    <xf numFmtId="0" fontId="44" fillId="0" borderId="19" xfId="68" applyFont="1" applyBorder="1" applyProtection="1"/>
    <xf numFmtId="0" fontId="44" fillId="0" borderId="108" xfId="68" applyFont="1" applyBorder="1" applyProtection="1"/>
    <xf numFmtId="0" fontId="1" fillId="0" borderId="0" xfId="72" applyFont="1" applyProtection="1">
      <protection locked="0"/>
    </xf>
    <xf numFmtId="0" fontId="1" fillId="0" borderId="0" xfId="72" applyFont="1" applyProtection="1"/>
    <xf numFmtId="0" fontId="50" fillId="0" borderId="0" xfId="72" applyProtection="1"/>
    <xf numFmtId="0" fontId="1" fillId="0" borderId="0" xfId="1" applyProtection="1"/>
    <xf numFmtId="0" fontId="51" fillId="0" borderId="0" xfId="1" applyFont="1" applyAlignment="1" applyProtection="1">
      <alignment horizontal="center"/>
    </xf>
    <xf numFmtId="0" fontId="1" fillId="0" borderId="0" xfId="1" applyFont="1" applyProtection="1"/>
    <xf numFmtId="0" fontId="1" fillId="0" borderId="57" xfId="1" applyBorder="1" applyAlignment="1" applyProtection="1">
      <alignment horizontal="center"/>
    </xf>
    <xf numFmtId="0" fontId="1" fillId="0" borderId="57" xfId="1" applyBorder="1" applyProtection="1"/>
    <xf numFmtId="0" fontId="1" fillId="0" borderId="57" xfId="1" applyFont="1" applyBorder="1" applyAlignment="1" applyProtection="1">
      <alignment horizontal="center"/>
    </xf>
    <xf numFmtId="14" fontId="1" fillId="0" borderId="57" xfId="1" applyNumberFormat="1" applyBorder="1" applyAlignment="1" applyProtection="1">
      <alignment horizontal="center"/>
    </xf>
    <xf numFmtId="0" fontId="1" fillId="0" borderId="57" xfId="1" applyFill="1" applyBorder="1" applyAlignment="1" applyProtection="1">
      <alignment horizontal="center"/>
    </xf>
    <xf numFmtId="0" fontId="4" fillId="0" borderId="0" xfId="1" applyFont="1" applyProtection="1"/>
    <xf numFmtId="167" fontId="1" fillId="0" borderId="57" xfId="1" applyNumberFormat="1" applyBorder="1" applyAlignment="1" applyProtection="1">
      <alignment horizontal="center"/>
    </xf>
    <xf numFmtId="2" fontId="1" fillId="0" borderId="0" xfId="1" applyNumberFormat="1" applyAlignment="1" applyProtection="1">
      <alignment horizontal="center"/>
    </xf>
    <xf numFmtId="167" fontId="1" fillId="0" borderId="0" xfId="1" applyNumberFormat="1" applyFill="1" applyBorder="1" applyAlignment="1" applyProtection="1">
      <alignment horizontal="center"/>
    </xf>
    <xf numFmtId="2" fontId="1" fillId="0" borderId="0" xfId="1" applyNumberFormat="1" applyProtection="1"/>
    <xf numFmtId="0" fontId="59" fillId="0" borderId="0" xfId="1" applyFont="1" applyProtection="1"/>
    <xf numFmtId="0" fontId="1" fillId="0" borderId="0" xfId="71" applyFont="1" applyFill="1" applyProtection="1"/>
    <xf numFmtId="0" fontId="1" fillId="0" borderId="0" xfId="71" applyFont="1" applyFill="1" applyAlignment="1" applyProtection="1">
      <alignment vertical="center"/>
    </xf>
    <xf numFmtId="0" fontId="4" fillId="0" borderId="10" xfId="429" applyFont="1" applyBorder="1" applyAlignment="1" applyProtection="1">
      <alignment horizontal="center" vertical="center" wrapText="1"/>
      <protection locked="0"/>
    </xf>
    <xf numFmtId="0" fontId="1" fillId="2" borderId="20" xfId="150" applyFont="1" applyFill="1" applyBorder="1" applyAlignment="1" applyProtection="1">
      <alignment horizontal="left" vertical="center"/>
    </xf>
    <xf numFmtId="0" fontId="1" fillId="2" borderId="0" xfId="150" applyFont="1" applyFill="1" applyBorder="1" applyAlignment="1" applyProtection="1">
      <alignment horizontal="left" vertical="center"/>
    </xf>
    <xf numFmtId="173" fontId="1" fillId="2" borderId="0" xfId="150" applyNumberFormat="1" applyFont="1" applyFill="1" applyBorder="1" applyAlignment="1" applyProtection="1">
      <alignment horizontal="center"/>
    </xf>
    <xf numFmtId="0" fontId="2" fillId="0" borderId="42" xfId="208" applyFont="1" applyBorder="1" applyAlignment="1" applyProtection="1">
      <alignment horizontal="center" vertical="center" wrapText="1"/>
    </xf>
    <xf numFmtId="0" fontId="4" fillId="0" borderId="19" xfId="208" applyFont="1" applyBorder="1" applyAlignment="1" applyProtection="1">
      <alignment horizontal="center"/>
    </xf>
    <xf numFmtId="0" fontId="4" fillId="0" borderId="0" xfId="208" applyFont="1" applyBorder="1" applyAlignment="1" applyProtection="1">
      <alignment horizontal="center"/>
    </xf>
    <xf numFmtId="0" fontId="5" fillId="27" borderId="0" xfId="71" applyFont="1" applyFill="1" applyBorder="1" applyAlignment="1" applyProtection="1">
      <alignment horizontal="left" vertical="center"/>
    </xf>
    <xf numFmtId="0" fontId="43" fillId="25" borderId="152" xfId="208" applyFont="1" applyFill="1" applyBorder="1" applyAlignment="1" applyProtection="1">
      <alignment horizontal="center" vertical="center"/>
    </xf>
    <xf numFmtId="0" fontId="43" fillId="27" borderId="20" xfId="74" applyFont="1" applyFill="1" applyBorder="1" applyAlignment="1" applyProtection="1">
      <alignment horizontal="left" vertical="center"/>
    </xf>
    <xf numFmtId="0" fontId="43" fillId="27" borderId="20" xfId="74" applyFont="1" applyFill="1" applyBorder="1" applyAlignment="1" applyProtection="1">
      <alignment vertical="center"/>
    </xf>
    <xf numFmtId="0" fontId="1" fillId="0" borderId="0" xfId="1" applyBorder="1" applyAlignment="1" applyProtection="1">
      <alignment vertical="center"/>
    </xf>
    <xf numFmtId="0" fontId="1" fillId="0" borderId="0" xfId="1" applyBorder="1" applyAlignment="1" applyProtection="1">
      <alignment horizontal="left" vertical="center"/>
    </xf>
    <xf numFmtId="0" fontId="16" fillId="2" borderId="19" xfId="210" applyFont="1" applyFill="1" applyBorder="1" applyProtection="1"/>
    <xf numFmtId="0" fontId="43" fillId="0" borderId="20" xfId="21" applyFont="1" applyFill="1" applyBorder="1" applyAlignment="1" applyProtection="1">
      <alignment vertical="center"/>
    </xf>
    <xf numFmtId="0" fontId="3" fillId="0" borderId="20" xfId="21" applyFont="1" applyFill="1" applyBorder="1" applyAlignment="1" applyProtection="1">
      <alignment horizontal="left"/>
    </xf>
    <xf numFmtId="189" fontId="3" fillId="0" borderId="19" xfId="21" applyNumberFormat="1" applyFont="1" applyFill="1" applyBorder="1" applyAlignment="1" applyProtection="1">
      <alignment horizontal="center"/>
    </xf>
    <xf numFmtId="0" fontId="3" fillId="0" borderId="20" xfId="70" applyFont="1" applyFill="1" applyBorder="1" applyAlignment="1" applyProtection="1">
      <alignment horizontal="center"/>
    </xf>
    <xf numFmtId="0" fontId="3" fillId="0" borderId="19" xfId="70" applyFont="1" applyFill="1" applyBorder="1" applyAlignment="1" applyProtection="1">
      <alignment horizontal="center"/>
    </xf>
    <xf numFmtId="0" fontId="5" fillId="27" borderId="17" xfId="71" applyFont="1" applyFill="1" applyBorder="1" applyAlignment="1" applyProtection="1">
      <alignment vertical="center"/>
    </xf>
    <xf numFmtId="0" fontId="3" fillId="0" borderId="0" xfId="208" applyFont="1" applyBorder="1" applyProtection="1"/>
    <xf numFmtId="0" fontId="2" fillId="0" borderId="17" xfId="208" applyFont="1" applyBorder="1" applyProtection="1"/>
    <xf numFmtId="168" fontId="2" fillId="27" borderId="19" xfId="71" applyNumberFormat="1" applyFont="1" applyFill="1" applyBorder="1" applyAlignment="1" applyProtection="1">
      <alignment horizontal="left" vertical="center"/>
    </xf>
    <xf numFmtId="0" fontId="2" fillId="0" borderId="139" xfId="208" applyFont="1" applyBorder="1" applyAlignment="1" applyProtection="1">
      <alignment horizontal="center"/>
    </xf>
    <xf numFmtId="0" fontId="2" fillId="0" borderId="333" xfId="208" applyFont="1" applyBorder="1" applyAlignment="1" applyProtection="1">
      <alignment horizontal="center"/>
    </xf>
    <xf numFmtId="1" fontId="155" fillId="0" borderId="331" xfId="208" applyNumberFormat="1" applyFont="1" applyBorder="1" applyAlignment="1" applyProtection="1">
      <alignment horizontal="center" vertical="center"/>
    </xf>
    <xf numFmtId="1" fontId="155" fillId="0" borderId="335" xfId="208" applyNumberFormat="1" applyFont="1" applyBorder="1" applyAlignment="1" applyProtection="1">
      <alignment horizontal="center" vertical="center"/>
    </xf>
    <xf numFmtId="167" fontId="2" fillId="0" borderId="332" xfId="208" applyNumberFormat="1" applyFont="1" applyBorder="1" applyAlignment="1" applyProtection="1">
      <alignment horizontal="center" vertical="center"/>
    </xf>
    <xf numFmtId="0" fontId="2" fillId="0" borderId="35" xfId="208" applyFont="1" applyBorder="1" applyAlignment="1" applyProtection="1">
      <alignment horizontal="center"/>
    </xf>
    <xf numFmtId="0" fontId="2" fillId="0" borderId="36" xfId="208" applyFont="1" applyBorder="1" applyAlignment="1" applyProtection="1">
      <alignment horizontal="center"/>
    </xf>
    <xf numFmtId="167" fontId="2" fillId="0" borderId="336" xfId="208" applyNumberFormat="1" applyFont="1" applyBorder="1" applyAlignment="1" applyProtection="1">
      <alignment horizontal="center" vertical="center"/>
    </xf>
    <xf numFmtId="0" fontId="2" fillId="0" borderId="337" xfId="208" applyFont="1" applyBorder="1" applyAlignment="1" applyProtection="1">
      <alignment horizontal="center"/>
    </xf>
    <xf numFmtId="167" fontId="2" fillId="0" borderId="333" xfId="208" applyNumberFormat="1" applyFont="1" applyBorder="1" applyAlignment="1" applyProtection="1">
      <alignment horizontal="center" vertical="center"/>
    </xf>
    <xf numFmtId="167" fontId="2" fillId="0" borderId="331" xfId="208" applyNumberFormat="1" applyFont="1" applyBorder="1" applyAlignment="1" applyProtection="1">
      <alignment horizontal="center" vertical="center"/>
    </xf>
    <xf numFmtId="1" fontId="2" fillId="0" borderId="19" xfId="208" applyNumberFormat="1" applyFont="1" applyBorder="1" applyAlignment="1" applyProtection="1">
      <alignment horizontal="center" vertical="center"/>
    </xf>
    <xf numFmtId="1" fontId="2" fillId="0" borderId="99" xfId="208" applyNumberFormat="1" applyFont="1" applyBorder="1" applyAlignment="1" applyProtection="1">
      <alignment horizontal="center" vertical="center"/>
    </xf>
    <xf numFmtId="1" fontId="2" fillId="0" borderId="63" xfId="208" applyNumberFormat="1" applyFont="1" applyBorder="1" applyAlignment="1" applyProtection="1">
      <alignment horizontal="center" vertical="center"/>
    </xf>
    <xf numFmtId="1" fontId="2" fillId="0" borderId="155" xfId="208" applyNumberFormat="1" applyFont="1" applyBorder="1" applyAlignment="1" applyProtection="1">
      <alignment horizontal="center" vertical="center"/>
    </xf>
    <xf numFmtId="1" fontId="2" fillId="0" borderId="154" xfId="208" applyNumberFormat="1" applyFont="1" applyBorder="1" applyAlignment="1" applyProtection="1">
      <alignment horizontal="center" vertical="center"/>
    </xf>
    <xf numFmtId="1" fontId="2" fillId="0" borderId="338" xfId="208" applyNumberFormat="1" applyFont="1" applyBorder="1" applyAlignment="1" applyProtection="1">
      <alignment horizontal="center" vertical="center"/>
    </xf>
    <xf numFmtId="0" fontId="1" fillId="27" borderId="0" xfId="68" applyFont="1" applyFill="1" applyBorder="1" applyAlignment="1" applyProtection="1">
      <alignment vertical="center"/>
      <protection locked="0"/>
    </xf>
    <xf numFmtId="0" fontId="129" fillId="27" borderId="13" xfId="1" applyFont="1" applyFill="1" applyBorder="1" applyAlignment="1" applyProtection="1">
      <alignment vertical="center"/>
      <protection locked="0"/>
    </xf>
    <xf numFmtId="0" fontId="129" fillId="27" borderId="18" xfId="1" applyFont="1" applyFill="1" applyBorder="1" applyAlignment="1" applyProtection="1">
      <alignment vertical="center"/>
      <protection locked="0"/>
    </xf>
    <xf numFmtId="0" fontId="129" fillId="27" borderId="15" xfId="1" applyFont="1" applyFill="1" applyBorder="1" applyAlignment="1" applyProtection="1">
      <alignment vertical="center"/>
      <protection locked="0"/>
    </xf>
    <xf numFmtId="0" fontId="4" fillId="2" borderId="42" xfId="150" applyFont="1" applyFill="1" applyBorder="1" applyAlignment="1" applyProtection="1">
      <alignment horizontal="center" vertical="center"/>
    </xf>
    <xf numFmtId="0" fontId="129" fillId="0" borderId="37" xfId="150" applyFont="1" applyFill="1" applyBorder="1" applyAlignment="1" applyProtection="1">
      <alignment horizontal="center"/>
      <protection locked="0"/>
    </xf>
    <xf numFmtId="0" fontId="129" fillId="0" borderId="0" xfId="150" applyFont="1" applyFill="1" applyBorder="1" applyAlignment="1" applyProtection="1">
      <alignment horizontal="center"/>
      <protection locked="0"/>
    </xf>
    <xf numFmtId="0" fontId="129" fillId="0" borderId="71" xfId="150" applyFont="1" applyFill="1" applyBorder="1" applyAlignment="1" applyProtection="1">
      <alignment horizontal="center"/>
      <protection locked="0"/>
    </xf>
    <xf numFmtId="0" fontId="139" fillId="38" borderId="37" xfId="150" quotePrefix="1" applyFont="1" applyFill="1" applyBorder="1" applyAlignment="1" applyProtection="1">
      <alignment horizontal="center"/>
    </xf>
    <xf numFmtId="0" fontId="139" fillId="38" borderId="38" xfId="150" quotePrefix="1" applyFont="1" applyFill="1" applyBorder="1" applyAlignment="1" applyProtection="1">
      <alignment horizontal="center"/>
    </xf>
    <xf numFmtId="0" fontId="4" fillId="2" borderId="12" xfId="150" applyFont="1" applyFill="1" applyBorder="1" applyAlignment="1" applyProtection="1">
      <alignment horizontal="center" vertical="center"/>
    </xf>
    <xf numFmtId="0" fontId="4" fillId="2" borderId="11" xfId="150" applyFont="1" applyFill="1" applyBorder="1" applyAlignment="1" applyProtection="1">
      <alignment horizontal="center" vertical="center"/>
    </xf>
    <xf numFmtId="0" fontId="4" fillId="2" borderId="102" xfId="150" applyFont="1" applyFill="1" applyBorder="1" applyAlignment="1" applyProtection="1">
      <alignment horizontal="center" vertical="center"/>
    </xf>
    <xf numFmtId="0" fontId="4" fillId="2" borderId="10" xfId="150" applyFont="1" applyFill="1" applyBorder="1" applyAlignment="1" applyProtection="1">
      <alignment horizontal="center" vertical="center"/>
    </xf>
    <xf numFmtId="0" fontId="4" fillId="2" borderId="40" xfId="150" applyFont="1" applyFill="1" applyBorder="1" applyAlignment="1" applyProtection="1">
      <alignment vertical="center"/>
    </xf>
    <xf numFmtId="0" fontId="4" fillId="2" borderId="41" xfId="150" applyFont="1" applyFill="1" applyBorder="1" applyAlignment="1" applyProtection="1">
      <alignment horizontal="center" vertical="center"/>
    </xf>
    <xf numFmtId="0" fontId="133" fillId="0" borderId="93" xfId="70" applyFont="1" applyFill="1" applyBorder="1" applyAlignment="1" applyProtection="1">
      <alignment horizontal="center" vertical="center"/>
    </xf>
    <xf numFmtId="0" fontId="133" fillId="0" borderId="328" xfId="70" applyFont="1" applyFill="1" applyBorder="1" applyAlignment="1" applyProtection="1">
      <alignment horizontal="center" vertical="center"/>
    </xf>
    <xf numFmtId="0" fontId="133" fillId="0" borderId="57" xfId="70" applyFont="1" applyFill="1" applyBorder="1" applyAlignment="1" applyProtection="1">
      <alignment horizontal="center" vertical="center"/>
    </xf>
    <xf numFmtId="0" fontId="2" fillId="0" borderId="142" xfId="208" applyFont="1" applyBorder="1" applyAlignment="1" applyProtection="1">
      <alignment horizontal="center"/>
    </xf>
    <xf numFmtId="0" fontId="2" fillId="0" borderId="148" xfId="208" applyFont="1" applyBorder="1" applyAlignment="1" applyProtection="1">
      <alignment horizontal="center"/>
    </xf>
    <xf numFmtId="167" fontId="2" fillId="0" borderId="143" xfId="208" applyNumberFormat="1" applyFont="1" applyBorder="1" applyAlignment="1" applyProtection="1">
      <alignment horizontal="center" vertical="center"/>
    </xf>
    <xf numFmtId="167" fontId="2" fillId="0" borderId="141" xfId="208" applyNumberFormat="1" applyFont="1" applyBorder="1" applyAlignment="1" applyProtection="1">
      <alignment horizontal="center" vertical="center"/>
    </xf>
    <xf numFmtId="0" fontId="2" fillId="0" borderId="341" xfId="208" applyFont="1" applyBorder="1" applyAlignment="1" applyProtection="1">
      <alignment horizontal="center"/>
    </xf>
    <xf numFmtId="0" fontId="2" fillId="0" borderId="342" xfId="208" applyFont="1" applyBorder="1" applyAlignment="1" applyProtection="1">
      <alignment horizontal="center" wrapText="1"/>
    </xf>
    <xf numFmtId="167" fontId="2" fillId="0" borderId="343" xfId="208" applyNumberFormat="1" applyFont="1" applyBorder="1" applyAlignment="1" applyProtection="1">
      <alignment horizontal="center" vertical="center" wrapText="1"/>
    </xf>
    <xf numFmtId="167" fontId="2" fillId="0" borderId="340" xfId="208" applyNumberFormat="1" applyFont="1" applyBorder="1" applyAlignment="1" applyProtection="1">
      <alignment horizontal="center" vertical="center" wrapText="1"/>
    </xf>
    <xf numFmtId="1" fontId="2" fillId="0" borderId="339" xfId="208" applyNumberFormat="1" applyFont="1" applyBorder="1" applyAlignment="1" applyProtection="1">
      <alignment horizontal="center" vertical="center"/>
    </xf>
    <xf numFmtId="0" fontId="4" fillId="2" borderId="0" xfId="150" applyFont="1" applyFill="1" applyBorder="1" applyAlignment="1" applyProtection="1">
      <alignment horizontal="center" vertical="center"/>
    </xf>
    <xf numFmtId="0" fontId="3" fillId="27" borderId="0" xfId="71" applyFont="1" applyFill="1" applyBorder="1" applyAlignment="1" applyProtection="1">
      <alignment vertical="top" wrapText="1"/>
      <protection locked="0"/>
    </xf>
    <xf numFmtId="0" fontId="43" fillId="27" borderId="0" xfId="71" applyFont="1" applyFill="1" applyBorder="1" applyAlignment="1" applyProtection="1">
      <alignment vertical="top" wrapText="1"/>
      <protection locked="0"/>
    </xf>
    <xf numFmtId="0" fontId="67" fillId="2" borderId="14" xfId="210" applyFill="1" applyBorder="1" applyProtection="1"/>
    <xf numFmtId="0" fontId="1" fillId="0" borderId="13" xfId="71" applyFont="1" applyBorder="1" applyAlignment="1" applyProtection="1">
      <alignment vertical="center"/>
    </xf>
    <xf numFmtId="0" fontId="67" fillId="2" borderId="0" xfId="210" applyFill="1" applyProtection="1"/>
    <xf numFmtId="0" fontId="67" fillId="0" borderId="0" xfId="210" applyFill="1" applyProtection="1"/>
    <xf numFmtId="0" fontId="67" fillId="2" borderId="20" xfId="210" applyFill="1" applyBorder="1" applyProtection="1"/>
    <xf numFmtId="0" fontId="1" fillId="0" borderId="0" xfId="71" applyFont="1" applyBorder="1" applyAlignment="1" applyProtection="1">
      <alignment vertical="center"/>
    </xf>
    <xf numFmtId="0" fontId="1" fillId="2" borderId="0" xfId="210" applyFont="1" applyFill="1" applyProtection="1"/>
    <xf numFmtId="0" fontId="1" fillId="2" borderId="0" xfId="210" applyFont="1" applyFill="1" applyProtection="1">
      <protection locked="0"/>
    </xf>
    <xf numFmtId="0" fontId="4" fillId="2" borderId="0" xfId="210" applyFont="1" applyFill="1" applyBorder="1" applyAlignment="1" applyProtection="1">
      <alignment horizontal="center" vertical="center"/>
      <protection locked="0"/>
    </xf>
    <xf numFmtId="0" fontId="84" fillId="2" borderId="0" xfId="210" applyFont="1" applyFill="1" applyBorder="1" applyProtection="1"/>
    <xf numFmtId="0" fontId="81" fillId="0" borderId="0" xfId="210" applyFont="1" applyFill="1" applyProtection="1"/>
    <xf numFmtId="0" fontId="1" fillId="0" borderId="0" xfId="210" applyFont="1" applyFill="1" applyProtection="1"/>
    <xf numFmtId="2" fontId="1" fillId="2" borderId="0" xfId="210" applyNumberFormat="1" applyFont="1" applyFill="1" applyProtection="1"/>
    <xf numFmtId="0" fontId="67" fillId="2" borderId="0" xfId="210" applyFill="1" applyBorder="1" applyAlignment="1" applyProtection="1">
      <alignment horizontal="centerContinuous"/>
    </xf>
    <xf numFmtId="0" fontId="67" fillId="2" borderId="0" xfId="210" applyFill="1" applyBorder="1" applyAlignment="1" applyProtection="1">
      <alignment horizontal="center"/>
    </xf>
    <xf numFmtId="0" fontId="67" fillId="2" borderId="0" xfId="210" applyFill="1" applyBorder="1" applyProtection="1"/>
    <xf numFmtId="0" fontId="1" fillId="2" borderId="0" xfId="210" applyFont="1" applyFill="1" applyBorder="1" applyAlignment="1" applyProtection="1"/>
    <xf numFmtId="0" fontId="138" fillId="2" borderId="0" xfId="210" applyFont="1" applyFill="1" applyBorder="1" applyAlignment="1" applyProtection="1"/>
    <xf numFmtId="2" fontId="67" fillId="2" borderId="0" xfId="210" applyNumberFormat="1" applyFill="1" applyBorder="1" applyAlignment="1" applyProtection="1">
      <alignment horizontal="center"/>
    </xf>
    <xf numFmtId="0" fontId="3" fillId="0" borderId="0" xfId="210" applyFont="1" applyFill="1" applyBorder="1" applyAlignment="1" applyProtection="1"/>
    <xf numFmtId="0" fontId="67" fillId="2" borderId="0" xfId="210" applyFont="1" applyFill="1" applyBorder="1" applyProtection="1"/>
    <xf numFmtId="1" fontId="3" fillId="0" borderId="0" xfId="210" applyNumberFormat="1" applyFont="1" applyFill="1" applyBorder="1" applyAlignment="1" applyProtection="1"/>
    <xf numFmtId="2" fontId="1" fillId="2" borderId="0" xfId="210" applyNumberFormat="1" applyFont="1" applyFill="1" applyBorder="1" applyProtection="1"/>
    <xf numFmtId="0" fontId="1" fillId="0" borderId="20" xfId="21" applyFont="1" applyFill="1" applyBorder="1" applyAlignment="1" applyProtection="1">
      <alignment vertical="center"/>
    </xf>
    <xf numFmtId="0" fontId="2" fillId="41" borderId="0" xfId="208" applyFont="1" applyFill="1" applyBorder="1" applyAlignment="1" applyProtection="1">
      <alignment horizontal="right"/>
    </xf>
    <xf numFmtId="0" fontId="2" fillId="41" borderId="40" xfId="208" applyFont="1" applyFill="1" applyBorder="1" applyAlignment="1" applyProtection="1">
      <alignment vertical="center"/>
    </xf>
    <xf numFmtId="0" fontId="1" fillId="41" borderId="40" xfId="208" applyFill="1" applyBorder="1" applyProtection="1"/>
    <xf numFmtId="0" fontId="5" fillId="27" borderId="13" xfId="71" applyFont="1" applyFill="1" applyBorder="1" applyAlignment="1" applyProtection="1">
      <alignment vertical="top" wrapText="1"/>
      <protection locked="0"/>
    </xf>
    <xf numFmtId="0" fontId="2" fillId="0" borderId="11" xfId="208" applyFont="1" applyBorder="1" applyAlignment="1" applyProtection="1">
      <alignment horizontal="center" vertical="center"/>
      <protection locked="0"/>
    </xf>
    <xf numFmtId="0" fontId="2" fillId="0" borderId="10" xfId="208" applyFont="1" applyBorder="1" applyAlignment="1" applyProtection="1">
      <alignment horizontal="center" vertical="center"/>
      <protection locked="0"/>
    </xf>
    <xf numFmtId="0" fontId="1" fillId="30" borderId="12" xfId="208" applyFill="1" applyBorder="1" applyAlignment="1" applyProtection="1">
      <alignment vertical="center" wrapText="1"/>
      <protection locked="0"/>
    </xf>
    <xf numFmtId="0" fontId="1" fillId="30" borderId="11" xfId="208" applyFill="1" applyBorder="1" applyAlignment="1" applyProtection="1">
      <alignment vertical="center" wrapText="1"/>
      <protection locked="0"/>
    </xf>
    <xf numFmtId="0" fontId="1" fillId="0" borderId="99" xfId="208" applyFont="1" applyBorder="1" applyProtection="1">
      <protection locked="0"/>
    </xf>
    <xf numFmtId="0" fontId="1" fillId="0" borderId="20" xfId="208" applyFont="1" applyBorder="1" applyProtection="1">
      <protection locked="0"/>
    </xf>
    <xf numFmtId="0" fontId="3" fillId="0" borderId="20" xfId="208" applyFont="1" applyBorder="1" applyProtection="1">
      <protection locked="0"/>
    </xf>
    <xf numFmtId="0" fontId="2" fillId="0" borderId="16" xfId="208" applyFont="1" applyBorder="1" applyProtection="1">
      <protection locked="0"/>
    </xf>
    <xf numFmtId="0" fontId="1" fillId="0" borderId="17" xfId="208" applyFont="1" applyBorder="1" applyProtection="1">
      <protection locked="0"/>
    </xf>
    <xf numFmtId="0" fontId="1" fillId="0" borderId="34" xfId="429" applyFont="1" applyBorder="1" applyProtection="1">
      <protection locked="0"/>
    </xf>
    <xf numFmtId="0" fontId="4" fillId="2" borderId="35" xfId="150" applyFont="1" applyFill="1" applyBorder="1" applyAlignment="1" applyProtection="1">
      <alignment horizontal="left" vertical="center"/>
      <protection locked="0"/>
    </xf>
    <xf numFmtId="0" fontId="1" fillId="0" borderId="35" xfId="429" applyFont="1" applyBorder="1" applyProtection="1">
      <protection locked="0"/>
    </xf>
    <xf numFmtId="168" fontId="4" fillId="2" borderId="35" xfId="150" applyNumberFormat="1" applyFont="1" applyFill="1" applyBorder="1" applyAlignment="1" applyProtection="1">
      <alignment vertical="center"/>
      <protection locked="0"/>
    </xf>
    <xf numFmtId="0" fontId="4" fillId="2" borderId="35" xfId="150" applyFont="1" applyFill="1" applyBorder="1" applyAlignment="1" applyProtection="1">
      <alignment horizontal="center" vertical="center"/>
      <protection locked="0"/>
    </xf>
    <xf numFmtId="0" fontId="1" fillId="0" borderId="37" xfId="429" applyFont="1" applyBorder="1" applyProtection="1">
      <protection locked="0"/>
    </xf>
    <xf numFmtId="167" fontId="3" fillId="0" borderId="0" xfId="429" applyNumberFormat="1" applyFont="1" applyBorder="1" applyAlignment="1" applyProtection="1">
      <alignment horizontal="center" vertical="center"/>
      <protection locked="0"/>
    </xf>
    <xf numFmtId="0" fontId="1" fillId="0" borderId="0" xfId="429" applyFont="1" applyBorder="1" applyAlignment="1" applyProtection="1">
      <alignment horizontal="center" vertical="center"/>
      <protection locked="0"/>
    </xf>
    <xf numFmtId="0" fontId="1" fillId="0" borderId="0" xfId="428" applyFont="1" applyBorder="1" applyAlignment="1" applyProtection="1">
      <alignment horizontal="center" vertical="center"/>
      <protection locked="0"/>
    </xf>
    <xf numFmtId="0" fontId="1" fillId="0" borderId="0" xfId="429" applyFont="1" applyBorder="1" applyProtection="1">
      <protection locked="0"/>
    </xf>
    <xf numFmtId="0" fontId="1" fillId="0" borderId="37" xfId="429" applyFont="1" applyBorder="1" applyAlignment="1" applyProtection="1">
      <alignment vertical="center"/>
      <protection locked="0"/>
    </xf>
    <xf numFmtId="0" fontId="1" fillId="0" borderId="0" xfId="429" applyFont="1" applyBorder="1" applyAlignment="1" applyProtection="1">
      <alignment vertical="center"/>
      <protection locked="0"/>
    </xf>
    <xf numFmtId="0" fontId="4" fillId="0" borderId="0" xfId="429" applyFont="1" applyBorder="1" applyProtection="1">
      <protection locked="0"/>
    </xf>
    <xf numFmtId="0" fontId="3" fillId="0" borderId="0" xfId="429" applyFont="1" applyBorder="1" applyProtection="1">
      <protection locked="0"/>
    </xf>
    <xf numFmtId="168" fontId="2" fillId="27" borderId="19" xfId="71" applyNumberFormat="1" applyFont="1" applyFill="1" applyBorder="1" applyAlignment="1" applyProtection="1">
      <alignment horizontal="left" vertical="center"/>
      <protection locked="0"/>
    </xf>
    <xf numFmtId="168" fontId="2" fillId="27" borderId="19" xfId="208" applyNumberFormat="1" applyFont="1" applyFill="1" applyBorder="1" applyAlignment="1" applyProtection="1">
      <alignment horizontal="left"/>
      <protection locked="0"/>
    </xf>
    <xf numFmtId="1" fontId="12" fillId="2" borderId="0" xfId="21" applyNumberFormat="1" applyFont="1" applyFill="1" applyBorder="1" applyAlignment="1" applyProtection="1"/>
    <xf numFmtId="167" fontId="15" fillId="2" borderId="0" xfId="21" applyNumberFormat="1" applyFont="1" applyFill="1" applyBorder="1" applyAlignment="1" applyProtection="1">
      <alignment horizontal="left"/>
    </xf>
    <xf numFmtId="15" fontId="15" fillId="2" borderId="0" xfId="21" applyNumberFormat="1" applyFont="1" applyFill="1" applyBorder="1" applyAlignment="1" applyProtection="1">
      <alignment horizontal="left"/>
    </xf>
    <xf numFmtId="0" fontId="67" fillId="0" borderId="0" xfId="210" applyFill="1" applyAlignment="1" applyProtection="1">
      <alignment horizontal="center"/>
    </xf>
    <xf numFmtId="0" fontId="4" fillId="2" borderId="0" xfId="150" applyFont="1" applyFill="1" applyBorder="1" applyAlignment="1" applyProtection="1">
      <alignment horizontal="left" vertical="center"/>
      <protection locked="0"/>
    </xf>
    <xf numFmtId="0" fontId="4" fillId="27" borderId="166" xfId="210" applyFont="1" applyFill="1" applyBorder="1" applyAlignment="1" applyProtection="1">
      <alignment horizontal="center" vertical="center"/>
    </xf>
    <xf numFmtId="0" fontId="4" fillId="27" borderId="170" xfId="210" applyFont="1" applyFill="1" applyBorder="1" applyAlignment="1" applyProtection="1">
      <alignment horizontal="center" vertical="center"/>
    </xf>
    <xf numFmtId="0" fontId="4" fillId="27" borderId="173" xfId="210" applyFont="1" applyFill="1" applyBorder="1" applyAlignment="1" applyProtection="1">
      <alignment horizontal="center" vertical="center"/>
    </xf>
    <xf numFmtId="0" fontId="4" fillId="27" borderId="17" xfId="210" applyFont="1" applyFill="1" applyBorder="1" applyAlignment="1" applyProtection="1">
      <alignment horizontal="center" vertical="center"/>
    </xf>
    <xf numFmtId="0" fontId="2" fillId="27" borderId="18" xfId="72" applyFont="1" applyFill="1" applyBorder="1" applyAlignment="1" applyProtection="1">
      <alignment horizontal="left" vertical="center"/>
      <protection locked="0"/>
    </xf>
    <xf numFmtId="167" fontId="4" fillId="0" borderId="57" xfId="70" applyNumberFormat="1" applyFont="1" applyFill="1" applyBorder="1" applyAlignment="1" applyProtection="1">
      <alignment horizontal="center" vertical="center"/>
    </xf>
    <xf numFmtId="167" fontId="2" fillId="0" borderId="99" xfId="208" applyNumberFormat="1" applyFont="1" applyBorder="1" applyAlignment="1" applyProtection="1">
      <alignment horizontal="center" vertical="center"/>
    </xf>
    <xf numFmtId="167" fontId="155" fillId="0" borderId="331" xfId="208" applyNumberFormat="1" applyFont="1" applyBorder="1" applyAlignment="1" applyProtection="1">
      <alignment horizontal="center" vertical="center"/>
    </xf>
    <xf numFmtId="167" fontId="2" fillId="0" borderId="137" xfId="208" applyNumberFormat="1" applyFont="1" applyBorder="1" applyAlignment="1" applyProtection="1">
      <alignment horizontal="center" vertical="center"/>
    </xf>
    <xf numFmtId="167" fontId="2" fillId="0" borderId="334" xfId="208" applyNumberFormat="1" applyFont="1" applyBorder="1" applyAlignment="1" applyProtection="1">
      <alignment horizontal="center" vertical="center"/>
    </xf>
    <xf numFmtId="167" fontId="132" fillId="0" borderId="93" xfId="70" applyNumberFormat="1" applyFont="1" applyFill="1" applyBorder="1" applyAlignment="1" applyProtection="1">
      <alignment horizontal="center" vertical="center"/>
      <protection locked="0"/>
    </xf>
    <xf numFmtId="167" fontId="132" fillId="0" borderId="328" xfId="70" applyNumberFormat="1" applyFont="1" applyFill="1" applyBorder="1" applyAlignment="1" applyProtection="1">
      <alignment horizontal="center" vertical="center"/>
      <protection locked="0"/>
    </xf>
    <xf numFmtId="167" fontId="4" fillId="0" borderId="57" xfId="70" applyNumberFormat="1" applyFont="1" applyFill="1" applyBorder="1" applyAlignment="1" applyProtection="1">
      <alignment horizontal="center" vertical="center"/>
      <protection locked="0"/>
    </xf>
    <xf numFmtId="1" fontId="155" fillId="0" borderId="334" xfId="208" applyNumberFormat="1" applyFont="1" applyBorder="1" applyAlignment="1" applyProtection="1">
      <alignment horizontal="center" vertical="center" wrapText="1"/>
    </xf>
    <xf numFmtId="0" fontId="155" fillId="27" borderId="35" xfId="71" applyFont="1" applyFill="1" applyBorder="1" applyAlignment="1" applyProtection="1">
      <alignment vertical="top" wrapText="1"/>
      <protection locked="0"/>
    </xf>
    <xf numFmtId="0" fontId="4" fillId="2" borderId="19" xfId="210" applyFont="1" applyFill="1" applyBorder="1" applyAlignment="1" applyProtection="1">
      <alignment vertical="center"/>
    </xf>
    <xf numFmtId="0" fontId="4" fillId="2" borderId="19" xfId="150" applyFont="1" applyFill="1" applyBorder="1" applyAlignment="1" applyProtection="1">
      <alignment vertical="center"/>
    </xf>
    <xf numFmtId="0" fontId="1" fillId="2" borderId="19" xfId="210" applyFont="1" applyFill="1" applyBorder="1" applyProtection="1"/>
    <xf numFmtId="0" fontId="43" fillId="27" borderId="13" xfId="0" applyFont="1" applyFill="1" applyBorder="1" applyAlignment="1" applyProtection="1">
      <alignment vertical="center"/>
    </xf>
    <xf numFmtId="0" fontId="2" fillId="2" borderId="18" xfId="72" applyFont="1" applyFill="1" applyBorder="1" applyAlignment="1" applyProtection="1">
      <alignment horizontal="left" vertical="center"/>
      <protection locked="0"/>
    </xf>
    <xf numFmtId="0" fontId="2" fillId="2" borderId="0" xfId="150" applyFont="1" applyFill="1" applyBorder="1" applyAlignment="1" applyProtection="1">
      <alignment horizontal="left" vertical="center"/>
    </xf>
    <xf numFmtId="0" fontId="43" fillId="27" borderId="0" xfId="150" applyFont="1" applyFill="1" applyBorder="1" applyAlignment="1" applyProtection="1">
      <alignment horizontal="left" vertical="center"/>
    </xf>
    <xf numFmtId="190" fontId="2" fillId="0" borderId="0" xfId="71" applyNumberFormat="1" applyFont="1" applyBorder="1" applyAlignment="1" applyProtection="1">
      <alignment horizontal="left" vertical="center"/>
    </xf>
    <xf numFmtId="0" fontId="43" fillId="27" borderId="0" xfId="71" applyFont="1" applyFill="1" applyBorder="1" applyAlignment="1" applyProtection="1">
      <alignment horizontal="left" vertical="center"/>
    </xf>
    <xf numFmtId="0" fontId="43" fillId="27" borderId="0" xfId="74" applyFont="1" applyFill="1" applyBorder="1" applyAlignment="1" applyProtection="1">
      <alignment horizontal="right" vertical="center"/>
    </xf>
    <xf numFmtId="0" fontId="43" fillId="27" borderId="0" xfId="71" applyFont="1" applyFill="1" applyBorder="1" applyAlignment="1" applyProtection="1">
      <alignment horizontal="right" vertical="center"/>
    </xf>
    <xf numFmtId="190" fontId="43" fillId="27" borderId="0" xfId="71" applyNumberFormat="1" applyFont="1" applyFill="1" applyBorder="1" applyAlignment="1" applyProtection="1">
      <alignment horizontal="right" vertical="center"/>
    </xf>
    <xf numFmtId="0" fontId="5" fillId="27" borderId="37" xfId="71" applyFont="1" applyFill="1" applyBorder="1" applyAlignment="1" applyProtection="1">
      <alignment vertical="center" wrapText="1"/>
    </xf>
    <xf numFmtId="0" fontId="5" fillId="27" borderId="39" xfId="71" applyFont="1" applyFill="1" applyBorder="1" applyAlignment="1" applyProtection="1">
      <alignment vertical="center" wrapText="1"/>
    </xf>
    <xf numFmtId="0" fontId="5" fillId="27" borderId="109" xfId="71" applyFont="1" applyFill="1" applyBorder="1" applyAlignment="1" applyProtection="1">
      <alignment vertical="center"/>
    </xf>
    <xf numFmtId="1" fontId="2" fillId="0" borderId="0" xfId="71" applyNumberFormat="1" applyFont="1" applyBorder="1" applyAlignment="1" applyProtection="1">
      <alignment horizontal="left" vertical="center"/>
    </xf>
    <xf numFmtId="0" fontId="43" fillId="0" borderId="40" xfId="429" applyFont="1" applyBorder="1" applyProtection="1"/>
    <xf numFmtId="0" fontId="110" fillId="0" borderId="40" xfId="429" applyFont="1" applyBorder="1" applyProtection="1"/>
    <xf numFmtId="0" fontId="43" fillId="27" borderId="17" xfId="208" applyFont="1" applyFill="1" applyBorder="1" applyProtection="1"/>
    <xf numFmtId="0" fontId="1" fillId="27" borderId="17" xfId="208" applyFill="1" applyBorder="1" applyProtection="1"/>
    <xf numFmtId="0" fontId="43" fillId="27" borderId="17" xfId="208" applyFont="1" applyFill="1" applyBorder="1" applyAlignment="1" applyProtection="1">
      <alignment horizontal="left"/>
    </xf>
    <xf numFmtId="0" fontId="155" fillId="2" borderId="20" xfId="21" applyFont="1" applyFill="1" applyBorder="1" applyAlignment="1" applyProtection="1">
      <alignment horizontal="center" vertical="center"/>
    </xf>
    <xf numFmtId="0" fontId="155" fillId="2" borderId="0" xfId="21" applyFont="1" applyFill="1" applyBorder="1" applyAlignment="1" applyProtection="1">
      <alignment horizontal="center" vertical="center"/>
    </xf>
    <xf numFmtId="0" fontId="12" fillId="28" borderId="0" xfId="21" applyFont="1" applyFill="1" applyAlignment="1" applyProtection="1">
      <alignment horizontal="left" vertical="center"/>
    </xf>
    <xf numFmtId="0" fontId="12" fillId="2" borderId="0" xfId="21" applyFont="1" applyFill="1" applyAlignment="1" applyProtection="1">
      <alignment horizontal="left" vertical="center"/>
    </xf>
    <xf numFmtId="0" fontId="12" fillId="2" borderId="0" xfId="21" applyFont="1" applyFill="1" applyAlignment="1" applyProtection="1">
      <alignment horizontal="center" vertical="center"/>
    </xf>
    <xf numFmtId="0" fontId="175" fillId="2" borderId="0" xfId="21" applyFont="1" applyFill="1" applyProtection="1">
      <protection locked="0"/>
    </xf>
    <xf numFmtId="0" fontId="12" fillId="2" borderId="0" xfId="21" applyFont="1" applyFill="1" applyProtection="1">
      <protection locked="0"/>
    </xf>
    <xf numFmtId="0" fontId="175" fillId="2" borderId="0" xfId="0" applyFont="1" applyFill="1" applyProtection="1">
      <protection locked="0"/>
    </xf>
    <xf numFmtId="0" fontId="12" fillId="2" borderId="0" xfId="21" applyFont="1" applyFill="1" applyBorder="1" applyAlignment="1" applyProtection="1"/>
    <xf numFmtId="0" fontId="155" fillId="2" borderId="0" xfId="21" applyFont="1" applyFill="1" applyBorder="1" applyProtection="1"/>
    <xf numFmtId="0" fontId="155" fillId="2" borderId="0" xfId="21" applyFont="1" applyFill="1" applyBorder="1" applyAlignment="1" applyProtection="1">
      <alignment horizontal="center"/>
    </xf>
    <xf numFmtId="0" fontId="155" fillId="2" borderId="0" xfId="21" quotePrefix="1" applyFont="1" applyFill="1" applyBorder="1" applyAlignment="1" applyProtection="1">
      <alignment horizontal="center" vertical="center"/>
    </xf>
    <xf numFmtId="0" fontId="2" fillId="2" borderId="0" xfId="21" applyFont="1" applyFill="1" applyProtection="1">
      <protection locked="0"/>
    </xf>
    <xf numFmtId="0" fontId="155" fillId="2" borderId="0" xfId="21" applyFont="1" applyFill="1" applyProtection="1">
      <protection locked="0"/>
    </xf>
    <xf numFmtId="0" fontId="175" fillId="2" borderId="0" xfId="21" applyFont="1" applyFill="1" applyBorder="1" applyProtection="1">
      <protection locked="0"/>
    </xf>
    <xf numFmtId="0" fontId="177" fillId="2" borderId="0" xfId="0" applyFont="1" applyFill="1" applyProtection="1">
      <protection locked="0"/>
    </xf>
    <xf numFmtId="0" fontId="175" fillId="2" borderId="0" xfId="21" applyFont="1" applyFill="1" applyBorder="1" applyAlignment="1" applyProtection="1">
      <alignment vertical="center"/>
    </xf>
    <xf numFmtId="0" fontId="169" fillId="2" borderId="0" xfId="21" applyFont="1" applyFill="1" applyBorder="1" applyAlignment="1" applyProtection="1">
      <alignment horizontal="center" vertical="center"/>
    </xf>
    <xf numFmtId="1" fontId="155" fillId="2" borderId="0" xfId="21" applyNumberFormat="1" applyFont="1" applyFill="1" applyBorder="1" applyAlignment="1" applyProtection="1">
      <alignment horizontal="center" vertical="center"/>
    </xf>
    <xf numFmtId="0" fontId="155" fillId="2" borderId="20" xfId="21" applyFont="1" applyFill="1" applyBorder="1" applyAlignment="1" applyProtection="1">
      <alignment horizontal="center"/>
    </xf>
    <xf numFmtId="0" fontId="2" fillId="2" borderId="0" xfId="21" applyFont="1" applyFill="1" applyBorder="1" applyAlignment="1" applyProtection="1">
      <alignment horizontal="center" vertical="center"/>
    </xf>
    <xf numFmtId="0" fontId="2" fillId="2" borderId="0" xfId="21" applyFont="1" applyFill="1" applyBorder="1" applyAlignment="1" applyProtection="1">
      <alignment horizontal="center" vertical="center"/>
      <protection locked="0"/>
    </xf>
    <xf numFmtId="0" fontId="155" fillId="44" borderId="20" xfId="21" applyFont="1" applyFill="1" applyBorder="1" applyAlignment="1" applyProtection="1">
      <alignment horizontal="center" vertical="center"/>
    </xf>
    <xf numFmtId="0" fontId="155" fillId="44" borderId="0" xfId="21" applyFont="1" applyFill="1" applyBorder="1" applyAlignment="1" applyProtection="1">
      <alignment horizontal="center" vertical="center"/>
    </xf>
    <xf numFmtId="0" fontId="155" fillId="2" borderId="0" xfId="21" applyFont="1" applyFill="1" applyBorder="1" applyProtection="1">
      <protection locked="0"/>
    </xf>
    <xf numFmtId="0" fontId="155" fillId="2" borderId="19" xfId="21" applyFont="1" applyFill="1" applyBorder="1" applyAlignment="1" applyProtection="1">
      <alignment horizontal="center" vertical="center"/>
    </xf>
    <xf numFmtId="0" fontId="155" fillId="2" borderId="19" xfId="21" applyFont="1" applyFill="1" applyBorder="1" applyAlignment="1" applyProtection="1">
      <alignment horizontal="center"/>
    </xf>
    <xf numFmtId="0" fontId="155" fillId="2" borderId="19" xfId="21" applyFont="1" applyFill="1" applyBorder="1" applyProtection="1"/>
    <xf numFmtId="1" fontId="155" fillId="2" borderId="16" xfId="21" quotePrefix="1" applyNumberFormat="1" applyFont="1" applyFill="1" applyBorder="1" applyAlignment="1" applyProtection="1">
      <alignment horizontal="center" vertical="center"/>
    </xf>
    <xf numFmtId="0" fontId="155" fillId="2" borderId="15" xfId="21" applyFont="1" applyFill="1" applyBorder="1" applyAlignment="1" applyProtection="1">
      <alignment horizontal="center" vertical="center"/>
    </xf>
    <xf numFmtId="0" fontId="2" fillId="2" borderId="0" xfId="21" applyFont="1" applyFill="1" applyBorder="1" applyProtection="1"/>
    <xf numFmtId="0" fontId="2" fillId="2" borderId="0" xfId="21" applyFont="1" applyFill="1" applyBorder="1" applyAlignment="1" applyProtection="1">
      <alignment horizontal="center"/>
    </xf>
    <xf numFmtId="0" fontId="2" fillId="2" borderId="20" xfId="21" applyFont="1" applyFill="1" applyBorder="1" applyProtection="1"/>
    <xf numFmtId="0" fontId="2" fillId="2" borderId="0" xfId="21" applyFont="1" applyFill="1" applyBorder="1" applyAlignment="1" applyProtection="1">
      <alignment vertical="center"/>
      <protection locked="0"/>
    </xf>
    <xf numFmtId="0" fontId="2" fillId="2" borderId="0" xfId="21" applyFont="1" applyFill="1" applyBorder="1" applyAlignment="1" applyProtection="1">
      <alignment vertical="center"/>
    </xf>
    <xf numFmtId="0" fontId="2" fillId="2" borderId="20" xfId="21" applyFont="1" applyFill="1" applyBorder="1" applyAlignment="1" applyProtection="1">
      <alignment vertical="center"/>
    </xf>
    <xf numFmtId="0" fontId="2" fillId="2" borderId="19" xfId="21" applyFont="1" applyFill="1" applyBorder="1" applyAlignment="1" applyProtection="1">
      <alignment horizontal="center" vertical="center"/>
    </xf>
    <xf numFmtId="0" fontId="2" fillId="2" borderId="20" xfId="21" applyFont="1" applyFill="1" applyBorder="1" applyAlignment="1" applyProtection="1">
      <alignment horizontal="center" vertical="center"/>
    </xf>
    <xf numFmtId="0" fontId="1" fillId="2" borderId="0" xfId="21" quotePrefix="1" applyFont="1" applyFill="1" applyAlignment="1" applyProtection="1">
      <alignment horizontal="center"/>
      <protection locked="0"/>
    </xf>
    <xf numFmtId="0" fontId="2" fillId="2" borderId="0" xfId="21" quotePrefix="1" applyFont="1" applyFill="1" applyBorder="1" applyAlignment="1" applyProtection="1">
      <alignment horizontal="center" vertical="center"/>
    </xf>
    <xf numFmtId="0" fontId="1" fillId="2" borderId="0" xfId="21" applyFont="1" applyFill="1" applyProtection="1">
      <protection locked="0"/>
    </xf>
    <xf numFmtId="0" fontId="2" fillId="2" borderId="16" xfId="21" applyFont="1" applyFill="1" applyBorder="1" applyAlignment="1" applyProtection="1">
      <alignment horizontal="center" vertical="center"/>
    </xf>
    <xf numFmtId="0" fontId="2" fillId="2" borderId="20" xfId="21" applyFont="1" applyFill="1" applyBorder="1" applyAlignment="1" applyProtection="1">
      <alignment horizontal="center" vertical="center"/>
      <protection locked="0"/>
    </xf>
    <xf numFmtId="0" fontId="175" fillId="2" borderId="0" xfId="21" applyFont="1" applyFill="1" applyBorder="1" applyAlignment="1" applyProtection="1">
      <alignment horizontal="center"/>
      <protection locked="0"/>
    </xf>
    <xf numFmtId="0" fontId="2" fillId="2" borderId="16" xfId="21" applyFont="1" applyFill="1" applyBorder="1" applyAlignment="1" applyProtection="1">
      <alignment horizontal="center" vertical="center"/>
      <protection locked="0"/>
    </xf>
    <xf numFmtId="0" fontId="175" fillId="2" borderId="347" xfId="21" applyFont="1" applyFill="1" applyBorder="1" applyProtection="1">
      <protection locked="0"/>
    </xf>
    <xf numFmtId="0" fontId="162" fillId="2" borderId="0" xfId="21" applyFont="1" applyFill="1" applyBorder="1" applyAlignment="1" applyProtection="1"/>
    <xf numFmtId="167" fontId="167" fillId="2" borderId="0" xfId="21" applyNumberFormat="1" applyFont="1" applyFill="1" applyBorder="1" applyAlignment="1" applyProtection="1">
      <alignment horizontal="center" vertical="center"/>
    </xf>
    <xf numFmtId="0" fontId="168" fillId="2" borderId="0" xfId="21" quotePrefix="1" applyFont="1" applyFill="1" applyBorder="1" applyAlignment="1" applyProtection="1">
      <alignment horizontal="center" vertical="center"/>
    </xf>
    <xf numFmtId="0" fontId="168" fillId="28" borderId="0" xfId="21" quotePrefix="1" applyFont="1" applyFill="1" applyBorder="1" applyAlignment="1" applyProtection="1">
      <alignment horizontal="center" vertical="center"/>
    </xf>
    <xf numFmtId="0" fontId="169" fillId="28" borderId="0" xfId="21" applyFont="1" applyFill="1" applyBorder="1" applyAlignment="1" applyProtection="1">
      <alignment horizontal="center" vertical="center"/>
    </xf>
    <xf numFmtId="0" fontId="166" fillId="2" borderId="0" xfId="21" applyFont="1" applyFill="1" applyBorder="1" applyProtection="1">
      <protection locked="0"/>
    </xf>
    <xf numFmtId="1" fontId="2" fillId="2" borderId="0" xfId="21" applyNumberFormat="1" applyFont="1" applyFill="1" applyBorder="1" applyAlignment="1" applyProtection="1">
      <alignment vertical="center"/>
    </xf>
    <xf numFmtId="0" fontId="43" fillId="25" borderId="57" xfId="21" applyFont="1" applyFill="1" applyBorder="1" applyAlignment="1" applyProtection="1">
      <alignment vertical="center" wrapText="1"/>
    </xf>
    <xf numFmtId="0" fontId="43" fillId="25" borderId="57" xfId="21" applyFont="1" applyFill="1" applyBorder="1" applyAlignment="1" applyProtection="1">
      <alignment vertical="center"/>
    </xf>
    <xf numFmtId="2" fontId="2" fillId="2" borderId="57" xfId="21" applyNumberFormat="1" applyFont="1" applyFill="1" applyBorder="1" applyAlignment="1" applyProtection="1">
      <alignment vertical="center"/>
    </xf>
    <xf numFmtId="1" fontId="2" fillId="2" borderId="57" xfId="21" applyNumberFormat="1" applyFont="1" applyFill="1" applyBorder="1" applyAlignment="1" applyProtection="1">
      <alignment vertical="center"/>
    </xf>
    <xf numFmtId="0" fontId="1" fillId="2" borderId="57" xfId="21" applyFont="1" applyFill="1" applyBorder="1" applyAlignment="1" applyProtection="1">
      <protection locked="0"/>
    </xf>
    <xf numFmtId="2" fontId="2" fillId="2" borderId="0" xfId="21" applyNumberFormat="1" applyFont="1" applyFill="1" applyBorder="1" applyAlignment="1" applyProtection="1">
      <alignment vertical="center"/>
    </xf>
    <xf numFmtId="0" fontId="155" fillId="2" borderId="347" xfId="21" applyFont="1" applyFill="1" applyBorder="1" applyAlignment="1" applyProtection="1">
      <alignment horizontal="center" vertical="center"/>
    </xf>
    <xf numFmtId="0" fontId="2" fillId="2" borderId="13" xfId="21" applyFont="1" applyFill="1" applyBorder="1" applyAlignment="1" applyProtection="1">
      <alignment horizontal="center" vertical="center"/>
    </xf>
    <xf numFmtId="0" fontId="2" fillId="2" borderId="347" xfId="21" applyFont="1" applyFill="1" applyBorder="1" applyAlignment="1" applyProtection="1">
      <alignment horizontal="center" vertical="center"/>
    </xf>
    <xf numFmtId="0" fontId="2" fillId="2" borderId="347" xfId="21" applyFont="1" applyFill="1" applyBorder="1" applyAlignment="1" applyProtection="1">
      <alignment horizontal="center" vertical="center"/>
      <protection locked="0"/>
    </xf>
    <xf numFmtId="0" fontId="175" fillId="2" borderId="347" xfId="21" applyFont="1" applyFill="1" applyBorder="1" applyAlignment="1" applyProtection="1">
      <alignment horizontal="center"/>
      <protection locked="0"/>
    </xf>
    <xf numFmtId="0" fontId="2" fillId="2" borderId="15" xfId="21" applyFont="1" applyFill="1" applyBorder="1" applyAlignment="1" applyProtection="1">
      <alignment horizontal="center" vertical="center"/>
    </xf>
    <xf numFmtId="0" fontId="2" fillId="2" borderId="18" xfId="21" applyFont="1" applyFill="1" applyBorder="1" applyAlignment="1" applyProtection="1">
      <alignment horizontal="center" vertical="center"/>
    </xf>
    <xf numFmtId="2" fontId="155" fillId="2" borderId="19" xfId="21" applyNumberFormat="1" applyFont="1" applyFill="1" applyBorder="1" applyAlignment="1" applyProtection="1">
      <alignment horizontal="center" vertical="center"/>
    </xf>
    <xf numFmtId="2" fontId="2" fillId="2" borderId="19" xfId="21" applyNumberFormat="1" applyFont="1" applyFill="1" applyBorder="1" applyAlignment="1" applyProtection="1">
      <alignment horizontal="center" vertical="center"/>
    </xf>
    <xf numFmtId="0" fontId="2" fillId="2" borderId="57" xfId="21" applyFont="1" applyFill="1" applyBorder="1" applyProtection="1">
      <protection locked="0"/>
    </xf>
    <xf numFmtId="0" fontId="2" fillId="2" borderId="0" xfId="21" applyFont="1" applyFill="1" applyBorder="1" applyProtection="1">
      <protection locked="0"/>
    </xf>
    <xf numFmtId="167" fontId="132" fillId="0" borderId="348" xfId="70" applyNumberFormat="1" applyFont="1" applyFill="1" applyBorder="1" applyAlignment="1" applyProtection="1">
      <alignment horizontal="center" vertical="center"/>
    </xf>
    <xf numFmtId="1" fontId="155" fillId="2" borderId="57" xfId="21" applyNumberFormat="1" applyFont="1" applyFill="1" applyBorder="1" applyAlignment="1" applyProtection="1">
      <alignment horizontal="center" vertical="center"/>
      <protection locked="0"/>
    </xf>
    <xf numFmtId="0" fontId="155" fillId="2" borderId="57" xfId="21" applyFont="1" applyFill="1" applyBorder="1" applyAlignment="1" applyProtection="1">
      <alignment horizontal="center"/>
      <protection locked="0"/>
    </xf>
    <xf numFmtId="0" fontId="155" fillId="2" borderId="57" xfId="21" applyFont="1" applyFill="1" applyBorder="1" applyProtection="1">
      <protection locked="0"/>
    </xf>
    <xf numFmtId="12" fontId="181" fillId="27" borderId="57" xfId="1" applyNumberFormat="1" applyFont="1" applyFill="1" applyBorder="1" applyAlignment="1" applyProtection="1">
      <alignment vertical="center" wrapText="1"/>
    </xf>
    <xf numFmtId="49" fontId="2" fillId="0" borderId="0" xfId="71" applyNumberFormat="1" applyFont="1" applyBorder="1" applyAlignment="1" applyProtection="1">
      <alignment vertical="center"/>
    </xf>
    <xf numFmtId="49" fontId="2" fillId="27" borderId="0" xfId="71" applyNumberFormat="1" applyFont="1" applyFill="1" applyBorder="1" applyAlignment="1" applyProtection="1">
      <alignment vertical="center"/>
    </xf>
    <xf numFmtId="0" fontId="43" fillId="27" borderId="35" xfId="0" applyFont="1" applyFill="1" applyBorder="1" applyAlignment="1" applyProtection="1">
      <alignment vertical="center"/>
    </xf>
    <xf numFmtId="0" fontId="43" fillId="27" borderId="0" xfId="208" applyFont="1" applyFill="1" applyBorder="1" applyAlignment="1" applyProtection="1">
      <alignment vertical="center"/>
    </xf>
    <xf numFmtId="0" fontId="110" fillId="36" borderId="0" xfId="545" applyFont="1" applyFill="1" applyAlignment="1" applyProtection="1">
      <alignment vertical="center"/>
      <protection locked="0"/>
    </xf>
    <xf numFmtId="0" fontId="5" fillId="27" borderId="99" xfId="150" applyFont="1" applyFill="1" applyBorder="1" applyAlignment="1" applyProtection="1">
      <alignment horizontal="left" vertical="center"/>
    </xf>
    <xf numFmtId="0" fontId="4" fillId="27" borderId="35" xfId="150" applyFont="1" applyFill="1" applyBorder="1" applyAlignment="1" applyProtection="1">
      <alignment vertical="center"/>
    </xf>
    <xf numFmtId="0" fontId="4" fillId="27" borderId="137" xfId="150" applyFont="1" applyFill="1" applyBorder="1" applyAlignment="1" applyProtection="1">
      <alignment vertical="center"/>
    </xf>
    <xf numFmtId="0" fontId="127" fillId="27" borderId="20" xfId="545" applyFont="1" applyFill="1" applyBorder="1" applyAlignment="1" applyProtection="1">
      <alignment vertical="center"/>
    </xf>
    <xf numFmtId="0" fontId="127" fillId="27" borderId="19" xfId="545" applyFont="1" applyFill="1" applyBorder="1" applyAlignment="1" applyProtection="1">
      <alignment vertical="center"/>
    </xf>
    <xf numFmtId="0" fontId="127" fillId="27" borderId="0" xfId="545" applyFont="1" applyFill="1" applyBorder="1" applyAlignment="1" applyProtection="1">
      <alignment horizontal="center" vertical="center" wrapText="1"/>
    </xf>
    <xf numFmtId="0" fontId="182" fillId="27" borderId="0" xfId="545" applyFont="1" applyFill="1" applyBorder="1" applyAlignment="1" applyProtection="1">
      <alignment horizontal="center" vertical="center" wrapText="1"/>
    </xf>
    <xf numFmtId="0" fontId="127" fillId="36" borderId="20" xfId="545" applyFont="1" applyFill="1" applyBorder="1" applyAlignment="1" applyProtection="1">
      <alignment vertical="center"/>
    </xf>
    <xf numFmtId="1" fontId="127" fillId="27" borderId="0" xfId="545" quotePrefix="1" applyNumberFormat="1" applyFont="1" applyFill="1" applyBorder="1" applyAlignment="1" applyProtection="1">
      <alignment horizontal="center" vertical="center"/>
    </xf>
    <xf numFmtId="0" fontId="127" fillId="36" borderId="19" xfId="545" applyFont="1" applyFill="1" applyBorder="1" applyAlignment="1" applyProtection="1">
      <alignment vertical="center"/>
    </xf>
    <xf numFmtId="0" fontId="110" fillId="36" borderId="0" xfId="545" applyFont="1" applyFill="1" applyAlignment="1" applyProtection="1">
      <alignment vertical="center"/>
    </xf>
    <xf numFmtId="0" fontId="110" fillId="36" borderId="10" xfId="545" applyFont="1" applyFill="1" applyBorder="1" applyAlignment="1" applyProtection="1">
      <alignment horizontal="center" vertical="center"/>
    </xf>
    <xf numFmtId="0" fontId="127" fillId="36" borderId="0" xfId="545" applyFont="1" applyFill="1" applyAlignment="1" applyProtection="1">
      <alignment vertical="center"/>
    </xf>
    <xf numFmtId="1" fontId="127" fillId="27" borderId="347" xfId="545" applyNumberFormat="1" applyFont="1" applyFill="1" applyBorder="1" applyAlignment="1" applyProtection="1">
      <alignment horizontal="center" vertical="center"/>
    </xf>
    <xf numFmtId="0" fontId="125" fillId="36" borderId="0" xfId="545" applyFont="1" applyFill="1" applyAlignment="1" applyProtection="1">
      <alignment vertical="center"/>
    </xf>
    <xf numFmtId="0" fontId="127" fillId="36" borderId="154" xfId="545" applyFont="1" applyFill="1" applyBorder="1" applyAlignment="1" applyProtection="1">
      <alignment vertical="center"/>
    </xf>
    <xf numFmtId="0" fontId="127" fillId="36" borderId="40" xfId="545" applyFont="1" applyFill="1" applyBorder="1" applyAlignment="1" applyProtection="1">
      <alignment vertical="center"/>
    </xf>
    <xf numFmtId="0" fontId="182" fillId="36" borderId="40" xfId="545" applyFont="1" applyFill="1" applyBorder="1" applyAlignment="1" applyProtection="1">
      <alignment horizontal="center" vertical="center"/>
    </xf>
    <xf numFmtId="0" fontId="182" fillId="36" borderId="40" xfId="545" applyFont="1" applyFill="1" applyBorder="1" applyAlignment="1" applyProtection="1">
      <alignment horizontal="right" vertical="center"/>
    </xf>
    <xf numFmtId="167" fontId="127" fillId="36" borderId="40" xfId="545" applyNumberFormat="1" applyFont="1" applyFill="1" applyBorder="1" applyAlignment="1" applyProtection="1">
      <alignment horizontal="center" vertical="center"/>
    </xf>
    <xf numFmtId="0" fontId="182" fillId="2" borderId="40" xfId="545" applyFont="1" applyFill="1" applyBorder="1" applyAlignment="1" applyProtection="1">
      <alignment horizontal="center" vertical="center"/>
    </xf>
    <xf numFmtId="0" fontId="127" fillId="36" borderId="155" xfId="545" applyFont="1" applyFill="1" applyBorder="1" applyAlignment="1" applyProtection="1">
      <alignment vertical="center"/>
    </xf>
    <xf numFmtId="0" fontId="5" fillId="27" borderId="99" xfId="71" applyFont="1" applyFill="1" applyBorder="1" applyAlignment="1" applyProtection="1">
      <alignment vertical="top" wrapText="1"/>
    </xf>
    <xf numFmtId="0" fontId="1" fillId="0" borderId="0" xfId="21" applyFont="1" applyFill="1" applyBorder="1" applyAlignment="1" applyProtection="1">
      <alignment horizontal="left" vertical="center"/>
      <protection locked="0"/>
    </xf>
    <xf numFmtId="0" fontId="4" fillId="25" borderId="12" xfId="71" applyFont="1" applyFill="1" applyBorder="1" applyAlignment="1" applyProtection="1">
      <alignment horizontal="center" vertical="center"/>
    </xf>
    <xf numFmtId="0" fontId="5" fillId="0" borderId="20" xfId="68" applyFont="1" applyBorder="1" applyAlignment="1" applyProtection="1"/>
    <xf numFmtId="0" fontId="5" fillId="0" borderId="45" xfId="68" applyFont="1" applyBorder="1" applyAlignment="1" applyProtection="1"/>
    <xf numFmtId="0" fontId="1" fillId="0" borderId="0" xfId="71" applyFont="1" applyFill="1" applyBorder="1" applyAlignment="1" applyProtection="1">
      <alignment vertical="center"/>
      <protection locked="0"/>
    </xf>
    <xf numFmtId="0" fontId="2" fillId="0" borderId="0" xfId="69" applyFont="1" applyBorder="1" applyAlignment="1" applyProtection="1">
      <alignment wrapText="1"/>
      <protection locked="0"/>
    </xf>
    <xf numFmtId="0" fontId="2" fillId="0" borderId="0" xfId="70" applyFont="1" applyFill="1" applyBorder="1" applyAlignment="1" applyProtection="1">
      <alignment vertical="center" wrapText="1"/>
      <protection locked="0"/>
    </xf>
    <xf numFmtId="0" fontId="1" fillId="2" borderId="14" xfId="546" applyFill="1" applyBorder="1" applyAlignment="1" applyProtection="1"/>
    <xf numFmtId="0" fontId="1" fillId="2" borderId="13" xfId="546" applyFill="1" applyBorder="1" applyAlignment="1" applyProtection="1"/>
    <xf numFmtId="0" fontId="1" fillId="0" borderId="13" xfId="546" applyBorder="1" applyProtection="1"/>
    <xf numFmtId="0" fontId="1" fillId="0" borderId="0" xfId="546" applyProtection="1">
      <protection locked="0"/>
    </xf>
    <xf numFmtId="0" fontId="1" fillId="2" borderId="20" xfId="546" applyFill="1" applyBorder="1" applyAlignment="1" applyProtection="1"/>
    <xf numFmtId="0" fontId="1" fillId="2" borderId="0" xfId="546" applyFill="1" applyBorder="1" applyAlignment="1" applyProtection="1"/>
    <xf numFmtId="0" fontId="1" fillId="0" borderId="0" xfId="546" applyBorder="1" applyProtection="1"/>
    <xf numFmtId="0" fontId="4" fillId="0" borderId="0" xfId="546" applyFont="1" applyProtection="1">
      <protection locked="0"/>
    </xf>
    <xf numFmtId="0" fontId="4" fillId="0" borderId="0" xfId="546" applyFont="1" applyBorder="1" applyAlignment="1" applyProtection="1">
      <alignment horizontal="center"/>
      <protection locked="0"/>
    </xf>
    <xf numFmtId="0" fontId="4" fillId="0" borderId="0" xfId="546" applyFont="1" applyBorder="1" applyAlignment="1" applyProtection="1">
      <alignment horizontal="center"/>
    </xf>
    <xf numFmtId="0" fontId="4" fillId="0" borderId="19" xfId="546" applyFont="1" applyBorder="1" applyAlignment="1" applyProtection="1">
      <alignment horizontal="center"/>
    </xf>
    <xf numFmtId="0" fontId="4" fillId="0" borderId="0" xfId="546" applyFont="1" applyBorder="1" applyProtection="1"/>
    <xf numFmtId="0" fontId="4" fillId="0" borderId="19" xfId="546" applyFont="1" applyBorder="1" applyProtection="1"/>
    <xf numFmtId="0" fontId="1" fillId="0" borderId="0" xfId="546" applyFont="1" applyProtection="1">
      <protection locked="0"/>
    </xf>
    <xf numFmtId="0" fontId="4" fillId="0" borderId="20" xfId="546" applyFont="1" applyBorder="1" applyAlignment="1" applyProtection="1">
      <alignment horizontal="left" vertical="center"/>
    </xf>
    <xf numFmtId="0" fontId="4" fillId="0" borderId="0" xfId="546" applyFont="1" applyBorder="1" applyProtection="1">
      <protection locked="0"/>
    </xf>
    <xf numFmtId="0" fontId="4" fillId="0" borderId="20" xfId="546" applyFont="1" applyBorder="1" applyAlignment="1" applyProtection="1">
      <alignment vertical="center"/>
    </xf>
    <xf numFmtId="0" fontId="4" fillId="0" borderId="0" xfId="546" applyFont="1" applyBorder="1" applyAlignment="1" applyProtection="1">
      <alignment horizontal="left" vertical="center"/>
    </xf>
    <xf numFmtId="0" fontId="4" fillId="0" borderId="0" xfId="546" applyFont="1" applyBorder="1" applyAlignment="1" applyProtection="1">
      <alignment horizontal="center" vertical="center"/>
    </xf>
    <xf numFmtId="0" fontId="1" fillId="0" borderId="0" xfId="546" applyFont="1" applyBorder="1" applyProtection="1">
      <protection locked="0"/>
    </xf>
    <xf numFmtId="0" fontId="4" fillId="0" borderId="0" xfId="546" applyFont="1" applyBorder="1" applyAlignment="1" applyProtection="1">
      <alignment vertical="center"/>
    </xf>
    <xf numFmtId="0" fontId="4" fillId="0" borderId="0" xfId="546" applyFont="1" applyBorder="1" applyAlignment="1" applyProtection="1">
      <alignment horizontal="right" vertical="center"/>
    </xf>
    <xf numFmtId="0" fontId="5" fillId="0" borderId="0" xfId="546" applyFont="1" applyBorder="1" applyAlignment="1" applyProtection="1">
      <alignment horizontal="center" vertical="center"/>
      <protection locked="0"/>
    </xf>
    <xf numFmtId="0" fontId="4" fillId="0" borderId="0" xfId="546" applyFont="1" applyBorder="1" applyAlignment="1" applyProtection="1">
      <alignment horizontal="center" vertical="center"/>
      <protection locked="0"/>
    </xf>
    <xf numFmtId="167" fontId="4" fillId="0" borderId="0" xfId="546" applyNumberFormat="1" applyFont="1" applyBorder="1" applyAlignment="1" applyProtection="1">
      <alignment horizontal="center" vertical="center"/>
    </xf>
    <xf numFmtId="0" fontId="4" fillId="0" borderId="19" xfId="546" applyFont="1" applyBorder="1" applyAlignment="1" applyProtection="1">
      <alignment vertical="center"/>
    </xf>
    <xf numFmtId="0" fontId="4" fillId="0" borderId="16" xfId="546" applyFont="1" applyBorder="1" applyProtection="1"/>
    <xf numFmtId="0" fontId="4" fillId="0" borderId="347" xfId="546" applyFont="1" applyBorder="1" applyAlignment="1" applyProtection="1">
      <alignment horizontal="left"/>
    </xf>
    <xf numFmtId="0" fontId="4" fillId="0" borderId="347" xfId="546" applyFont="1" applyBorder="1" applyAlignment="1" applyProtection="1">
      <alignment horizontal="center"/>
    </xf>
    <xf numFmtId="0" fontId="4" fillId="0" borderId="347" xfId="546" applyFont="1" applyBorder="1" applyProtection="1"/>
    <xf numFmtId="0" fontId="4" fillId="0" borderId="347" xfId="546" applyFont="1" applyBorder="1" applyAlignment="1" applyProtection="1">
      <alignment horizontal="right"/>
    </xf>
    <xf numFmtId="0" fontId="5" fillId="0" borderId="347" xfId="546" applyFont="1" applyBorder="1" applyAlignment="1" applyProtection="1">
      <alignment horizontal="center"/>
      <protection locked="0"/>
    </xf>
    <xf numFmtId="0" fontId="4" fillId="0" borderId="347" xfId="546" applyFont="1" applyBorder="1" applyAlignment="1" applyProtection="1">
      <alignment horizontal="center"/>
      <protection locked="0"/>
    </xf>
    <xf numFmtId="167" fontId="4" fillId="0" borderId="347" xfId="546" applyNumberFormat="1" applyFont="1" applyBorder="1" applyAlignment="1" applyProtection="1">
      <alignment horizontal="center"/>
    </xf>
    <xf numFmtId="0" fontId="4" fillId="0" borderId="15" xfId="546" applyFont="1" applyBorder="1" applyProtection="1"/>
    <xf numFmtId="0" fontId="1" fillId="25" borderId="0" xfId="546" applyFont="1" applyFill="1" applyAlignment="1" applyProtection="1">
      <alignment vertical="center"/>
      <protection locked="0"/>
    </xf>
    <xf numFmtId="0" fontId="1" fillId="0" borderId="20" xfId="546" applyFont="1" applyBorder="1" applyProtection="1"/>
    <xf numFmtId="0" fontId="1" fillId="0" borderId="0" xfId="546" applyFont="1" applyBorder="1" applyAlignment="1" applyProtection="1">
      <alignment horizontal="left"/>
    </xf>
    <xf numFmtId="0" fontId="1" fillId="0" borderId="0" xfId="546" applyFont="1" applyBorder="1" applyAlignment="1" applyProtection="1">
      <alignment horizontal="center"/>
    </xf>
    <xf numFmtId="0" fontId="1" fillId="0" borderId="0" xfId="546" applyFont="1" applyBorder="1" applyProtection="1"/>
    <xf numFmtId="0" fontId="1" fillId="0" borderId="19" xfId="546" applyFont="1" applyBorder="1" applyAlignment="1" applyProtection="1">
      <alignment horizontal="center"/>
    </xf>
    <xf numFmtId="0" fontId="3" fillId="0" borderId="0" xfId="546" applyFont="1" applyBorder="1" applyAlignment="1" applyProtection="1">
      <alignment vertical="center" wrapText="1"/>
    </xf>
    <xf numFmtId="0" fontId="185" fillId="0" borderId="351" xfId="546" applyFont="1" applyBorder="1" applyAlignment="1" applyProtection="1">
      <alignment vertical="center"/>
    </xf>
    <xf numFmtId="0" fontId="1" fillId="0" borderId="19" xfId="546" applyFont="1" applyBorder="1" applyProtection="1"/>
    <xf numFmtId="167" fontId="1" fillId="0" borderId="0" xfId="546" applyNumberFormat="1" applyFont="1" applyBorder="1" applyProtection="1"/>
    <xf numFmtId="0" fontId="3" fillId="0" borderId="0" xfId="546" applyFont="1" applyBorder="1" applyAlignment="1" applyProtection="1">
      <alignment horizontal="center" vertical="center" wrapText="1"/>
    </xf>
    <xf numFmtId="0" fontId="185" fillId="0" borderId="0" xfId="546" applyFont="1" applyBorder="1" applyAlignment="1" applyProtection="1">
      <alignment horizontal="right" vertical="center"/>
    </xf>
    <xf numFmtId="2" fontId="3" fillId="0" borderId="0" xfId="546" applyNumberFormat="1" applyFont="1" applyBorder="1" applyAlignment="1" applyProtection="1">
      <alignment horizontal="center" vertical="center"/>
    </xf>
    <xf numFmtId="0" fontId="3" fillId="0" borderId="0" xfId="546" applyFont="1" applyFill="1" applyBorder="1" applyAlignment="1" applyProtection="1">
      <alignment horizontal="center" vertical="center" wrapText="1"/>
    </xf>
    <xf numFmtId="0" fontId="1" fillId="0" borderId="0" xfId="546" applyFont="1" applyFill="1" applyBorder="1" applyAlignment="1" applyProtection="1"/>
    <xf numFmtId="0" fontId="185" fillId="0" borderId="0" xfId="546" applyFont="1" applyFill="1" applyBorder="1" applyAlignment="1" applyProtection="1">
      <alignment horizontal="right" vertical="center"/>
    </xf>
    <xf numFmtId="2" fontId="3" fillId="0" borderId="0" xfId="546" applyNumberFormat="1" applyFont="1" applyFill="1" applyBorder="1" applyAlignment="1" applyProtection="1">
      <alignment horizontal="center" vertical="center"/>
    </xf>
    <xf numFmtId="0" fontId="187" fillId="0" borderId="351" xfId="546" applyFont="1" applyBorder="1" applyAlignment="1" applyProtection="1">
      <alignment vertical="center"/>
    </xf>
    <xf numFmtId="0" fontId="187" fillId="0" borderId="0" xfId="546" applyFont="1" applyBorder="1" applyAlignment="1" applyProtection="1">
      <alignment horizontal="center" vertical="center"/>
    </xf>
    <xf numFmtId="0" fontId="1" fillId="25" borderId="0" xfId="546" applyFont="1" applyFill="1" applyProtection="1">
      <protection locked="0"/>
    </xf>
    <xf numFmtId="0" fontId="187" fillId="0" borderId="351" xfId="546" applyFont="1" applyBorder="1" applyAlignment="1" applyProtection="1">
      <alignment vertical="center" wrapText="1"/>
    </xf>
    <xf numFmtId="0" fontId="187" fillId="0" borderId="351" xfId="546" applyFont="1" applyBorder="1" applyAlignment="1" applyProtection="1">
      <alignment vertical="center" wrapText="1" shrinkToFit="1"/>
    </xf>
    <xf numFmtId="0" fontId="1" fillId="0" borderId="16" xfId="546" applyFont="1" applyBorder="1" applyProtection="1"/>
    <xf numFmtId="0" fontId="1" fillId="0" borderId="347" xfId="546" applyFont="1" applyBorder="1" applyProtection="1"/>
    <xf numFmtId="0" fontId="3" fillId="0" borderId="347" xfId="546" applyFont="1" applyBorder="1" applyAlignment="1" applyProtection="1">
      <alignment horizontal="center" vertical="center" wrapText="1"/>
    </xf>
    <xf numFmtId="0" fontId="185" fillId="0" borderId="347" xfId="546" applyFont="1" applyBorder="1" applyAlignment="1" applyProtection="1">
      <alignment horizontal="right" vertical="center"/>
    </xf>
    <xf numFmtId="2" fontId="3" fillId="0" borderId="347" xfId="546" applyNumberFormat="1" applyFont="1" applyBorder="1" applyAlignment="1" applyProtection="1">
      <alignment horizontal="center" vertical="center"/>
    </xf>
    <xf numFmtId="0" fontId="1" fillId="0" borderId="347" xfId="546" applyFont="1" applyBorder="1" applyAlignment="1" applyProtection="1">
      <alignment horizontal="left"/>
    </xf>
    <xf numFmtId="0" fontId="3" fillId="0" borderId="347" xfId="546" applyFont="1" applyFill="1" applyBorder="1" applyAlignment="1" applyProtection="1">
      <alignment horizontal="center" vertical="center" wrapText="1"/>
    </xf>
    <xf numFmtId="0" fontId="1" fillId="0" borderId="347" xfId="546" applyFont="1" applyFill="1" applyBorder="1" applyAlignment="1" applyProtection="1"/>
    <xf numFmtId="0" fontId="185" fillId="0" borderId="347" xfId="546" applyFont="1" applyFill="1" applyBorder="1" applyAlignment="1" applyProtection="1">
      <alignment horizontal="right" vertical="center"/>
    </xf>
    <xf numFmtId="2" fontId="3" fillId="0" borderId="347" xfId="546" applyNumberFormat="1" applyFont="1" applyFill="1" applyBorder="1" applyAlignment="1" applyProtection="1">
      <alignment horizontal="center" vertical="center"/>
    </xf>
    <xf numFmtId="0" fontId="1" fillId="0" borderId="15" xfId="546" applyFont="1" applyBorder="1" applyProtection="1"/>
    <xf numFmtId="0" fontId="1" fillId="0" borderId="0" xfId="546" applyFont="1" applyProtection="1"/>
    <xf numFmtId="2" fontId="3" fillId="0" borderId="19" xfId="546" applyNumberFormat="1" applyFont="1" applyFill="1" applyBorder="1" applyAlignment="1" applyProtection="1">
      <alignment horizontal="center" vertical="center"/>
    </xf>
    <xf numFmtId="0" fontId="187" fillId="0" borderId="0" xfId="546" applyFont="1" applyBorder="1" applyAlignment="1" applyProtection="1">
      <alignment vertical="center" wrapText="1"/>
    </xf>
    <xf numFmtId="0" fontId="1" fillId="0" borderId="14" xfId="546" applyBorder="1" applyProtection="1"/>
    <xf numFmtId="0" fontId="1" fillId="0" borderId="18" xfId="546" applyBorder="1" applyProtection="1"/>
    <xf numFmtId="0" fontId="1" fillId="0" borderId="0" xfId="546" applyProtection="1"/>
    <xf numFmtId="0" fontId="1" fillId="0" borderId="20" xfId="546" applyBorder="1" applyProtection="1"/>
    <xf numFmtId="0" fontId="1" fillId="0" borderId="19" xfId="546" applyBorder="1" applyProtection="1"/>
    <xf numFmtId="0" fontId="3" fillId="0" borderId="14" xfId="546" applyFont="1" applyBorder="1" applyProtection="1">
      <protection locked="0"/>
    </xf>
    <xf numFmtId="0" fontId="1" fillId="0" borderId="13" xfId="546" applyBorder="1" applyProtection="1">
      <protection locked="0"/>
    </xf>
    <xf numFmtId="0" fontId="4" fillId="0" borderId="13" xfId="546" applyFont="1" applyBorder="1" applyAlignment="1" applyProtection="1">
      <alignment horizontal="left"/>
      <protection locked="0"/>
    </xf>
    <xf numFmtId="0" fontId="1" fillId="27" borderId="0" xfId="546" applyFill="1" applyBorder="1" applyProtection="1">
      <protection locked="0"/>
    </xf>
    <xf numFmtId="0" fontId="1" fillId="27" borderId="0" xfId="546" applyFill="1" applyProtection="1">
      <protection locked="0"/>
    </xf>
    <xf numFmtId="0" fontId="1" fillId="0" borderId="20" xfId="546" applyBorder="1" applyProtection="1">
      <protection locked="0"/>
    </xf>
    <xf numFmtId="0" fontId="1" fillId="0" borderId="0" xfId="546" applyBorder="1" applyProtection="1">
      <protection locked="0"/>
    </xf>
    <xf numFmtId="0" fontId="3" fillId="0" borderId="0" xfId="546" applyFont="1" applyBorder="1" applyAlignment="1" applyProtection="1">
      <alignment horizontal="center"/>
    </xf>
    <xf numFmtId="0" fontId="1" fillId="0" borderId="0" xfId="546" applyBorder="1" applyAlignment="1" applyProtection="1">
      <alignment horizontal="center"/>
    </xf>
    <xf numFmtId="0" fontId="1" fillId="0" borderId="0" xfId="546" applyBorder="1" applyAlignment="1" applyProtection="1">
      <alignment horizontal="center"/>
      <protection locked="0"/>
    </xf>
    <xf numFmtId="0" fontId="2" fillId="27" borderId="0" xfId="546" applyFont="1" applyFill="1" applyAlignment="1" applyProtection="1">
      <protection locked="0"/>
    </xf>
    <xf numFmtId="0" fontId="1" fillId="0" borderId="14" xfId="546" applyBorder="1" applyAlignment="1" applyProtection="1"/>
    <xf numFmtId="0" fontId="1" fillId="0" borderId="13" xfId="546" applyBorder="1" applyAlignment="1" applyProtection="1"/>
    <xf numFmtId="0" fontId="1" fillId="0" borderId="18" xfId="546" applyBorder="1" applyAlignment="1" applyProtection="1"/>
    <xf numFmtId="0" fontId="1" fillId="0" borderId="20" xfId="546" applyBorder="1" applyAlignment="1" applyProtection="1"/>
    <xf numFmtId="0" fontId="1" fillId="0" borderId="0" xfId="546" applyBorder="1" applyAlignment="1" applyProtection="1"/>
    <xf numFmtId="0" fontId="1" fillId="0" borderId="19" xfId="546" applyBorder="1" applyAlignment="1" applyProtection="1"/>
    <xf numFmtId="0" fontId="188" fillId="0" borderId="13" xfId="546" applyFont="1" applyBorder="1" applyAlignment="1" applyProtection="1">
      <alignment vertical="center" wrapText="1"/>
    </xf>
    <xf numFmtId="0" fontId="188" fillId="0" borderId="18" xfId="546" applyFont="1" applyBorder="1" applyAlignment="1" applyProtection="1">
      <alignment vertical="center" wrapText="1"/>
    </xf>
    <xf numFmtId="0" fontId="4" fillId="25" borderId="0" xfId="546" applyFont="1" applyFill="1" applyBorder="1" applyProtection="1">
      <protection locked="0"/>
    </xf>
    <xf numFmtId="0" fontId="1" fillId="0" borderId="0" xfId="546" applyBorder="1" applyAlignment="1" applyProtection="1">
      <alignment vertical="center"/>
    </xf>
    <xf numFmtId="0" fontId="2" fillId="0" borderId="0" xfId="546" applyFont="1" applyBorder="1" applyProtection="1"/>
    <xf numFmtId="0" fontId="1" fillId="0" borderId="347" xfId="546" applyBorder="1" applyAlignment="1" applyProtection="1">
      <alignment vertical="center"/>
    </xf>
    <xf numFmtId="0" fontId="66" fillId="0" borderId="0" xfId="546" applyFont="1" applyBorder="1" applyProtection="1"/>
    <xf numFmtId="0" fontId="1" fillId="27" borderId="0" xfId="546" applyFont="1" applyFill="1" applyProtection="1">
      <protection locked="0"/>
    </xf>
    <xf numFmtId="0" fontId="43" fillId="0" borderId="0" xfId="546" applyFont="1" applyBorder="1" applyAlignment="1" applyProtection="1">
      <alignment vertical="center" wrapText="1"/>
    </xf>
    <xf numFmtId="0" fontId="1" fillId="25" borderId="0" xfId="546" applyFill="1" applyProtection="1">
      <protection locked="0"/>
    </xf>
    <xf numFmtId="0" fontId="43" fillId="0" borderId="20" xfId="546" applyFont="1" applyFill="1" applyBorder="1" applyAlignment="1" applyProtection="1">
      <alignment horizontal="center" vertical="center"/>
    </xf>
    <xf numFmtId="0" fontId="43" fillId="0" borderId="0" xfId="546" applyFont="1" applyFill="1" applyBorder="1" applyAlignment="1" applyProtection="1">
      <alignment horizontal="center" vertical="center"/>
    </xf>
    <xf numFmtId="0" fontId="43" fillId="0" borderId="19" xfId="546" applyFont="1" applyFill="1" applyBorder="1" applyAlignment="1" applyProtection="1">
      <alignment horizontal="center" vertical="center"/>
    </xf>
    <xf numFmtId="0" fontId="2" fillId="0" borderId="0" xfId="546" applyFont="1" applyFill="1" applyBorder="1" applyAlignment="1" applyProtection="1">
      <alignment vertical="center" wrapText="1"/>
    </xf>
    <xf numFmtId="0" fontId="2" fillId="0" borderId="0" xfId="546" applyFont="1" applyProtection="1"/>
    <xf numFmtId="0" fontId="2" fillId="0" borderId="20" xfId="546" applyFont="1" applyFill="1" applyBorder="1" applyAlignment="1" applyProtection="1">
      <alignment horizontal="left"/>
    </xf>
    <xf numFmtId="0" fontId="43" fillId="0" borderId="0" xfId="546" applyFont="1" applyFill="1" applyBorder="1" applyAlignment="1" applyProtection="1">
      <alignment vertical="center" wrapText="1"/>
    </xf>
    <xf numFmtId="0" fontId="2" fillId="0" borderId="0" xfId="546" applyFont="1" applyFill="1" applyBorder="1" applyAlignment="1" applyProtection="1">
      <alignment vertical="center"/>
    </xf>
    <xf numFmtId="0" fontId="2" fillId="0" borderId="0" xfId="546" applyFont="1" applyFill="1" applyBorder="1" applyProtection="1"/>
    <xf numFmtId="0" fontId="2" fillId="0" borderId="0" xfId="546" applyFont="1" applyFill="1" applyBorder="1" applyAlignment="1" applyProtection="1">
      <alignment horizontal="left"/>
    </xf>
    <xf numFmtId="0" fontId="2" fillId="0" borderId="0" xfId="546" applyFont="1" applyFill="1" applyBorder="1" applyAlignment="1" applyProtection="1">
      <alignment horizontal="center"/>
    </xf>
    <xf numFmtId="0" fontId="2" fillId="0" borderId="19" xfId="546" applyFont="1" applyFill="1" applyBorder="1" applyProtection="1"/>
    <xf numFmtId="0" fontId="2" fillId="0" borderId="20" xfId="546" applyFont="1" applyFill="1" applyBorder="1" applyProtection="1"/>
    <xf numFmtId="0" fontId="2" fillId="0" borderId="0" xfId="546" applyFont="1" applyProtection="1">
      <protection locked="0"/>
    </xf>
    <xf numFmtId="0" fontId="1" fillId="28" borderId="0" xfId="546" applyFill="1" applyProtection="1">
      <protection locked="0"/>
    </xf>
    <xf numFmtId="0" fontId="2" fillId="0" borderId="20" xfId="546" applyFont="1" applyBorder="1" applyProtection="1"/>
    <xf numFmtId="0" fontId="2" fillId="0" borderId="0" xfId="546" applyFont="1" applyBorder="1" applyAlignment="1" applyProtection="1">
      <alignment vertical="center"/>
    </xf>
    <xf numFmtId="0" fontId="2" fillId="0" borderId="0" xfId="546" applyFont="1" applyBorder="1" applyAlignment="1" applyProtection="1">
      <alignment horizontal="right" vertical="center"/>
    </xf>
    <xf numFmtId="2" fontId="43" fillId="0" borderId="0" xfId="546" applyNumberFormat="1" applyFont="1" applyBorder="1" applyAlignment="1" applyProtection="1">
      <alignment horizontal="center" vertical="center"/>
    </xf>
    <xf numFmtId="0" fontId="2" fillId="0" borderId="19" xfId="546" applyFont="1" applyBorder="1" applyProtection="1"/>
    <xf numFmtId="0" fontId="5" fillId="0" borderId="0" xfId="546" applyFont="1" applyFill="1" applyBorder="1" applyAlignment="1" applyProtection="1">
      <alignment vertical="center" wrapText="1"/>
    </xf>
    <xf numFmtId="0" fontId="4" fillId="0" borderId="0" xfId="546" applyFont="1" applyFill="1" applyBorder="1" applyProtection="1"/>
    <xf numFmtId="0" fontId="4" fillId="0" borderId="19" xfId="546" applyFont="1" applyFill="1" applyBorder="1" applyProtection="1"/>
    <xf numFmtId="0" fontId="4" fillId="0" borderId="20" xfId="546" applyFont="1" applyFill="1" applyBorder="1" applyProtection="1"/>
    <xf numFmtId="0" fontId="4" fillId="2" borderId="20" xfId="546" applyFont="1" applyFill="1" applyBorder="1" applyAlignment="1" applyProtection="1">
      <alignment vertical="center"/>
    </xf>
    <xf numFmtId="0" fontId="2" fillId="0" borderId="0" xfId="546" applyFont="1" applyAlignment="1" applyProtection="1">
      <protection locked="0"/>
    </xf>
    <xf numFmtId="0" fontId="2" fillId="27" borderId="35" xfId="208" applyFont="1" applyFill="1" applyBorder="1" applyAlignment="1" applyProtection="1">
      <alignment vertical="center"/>
    </xf>
    <xf numFmtId="0" fontId="2" fillId="27" borderId="0" xfId="208" applyFont="1" applyFill="1" applyBorder="1" applyAlignment="1" applyProtection="1">
      <alignment vertical="top"/>
    </xf>
    <xf numFmtId="0" fontId="2" fillId="27" borderId="347" xfId="208" applyFont="1" applyFill="1" applyBorder="1" applyAlignment="1" applyProtection="1">
      <alignment vertical="center"/>
    </xf>
    <xf numFmtId="0" fontId="43" fillId="0" borderId="347" xfId="208" applyFont="1" applyBorder="1" applyAlignment="1" applyProtection="1">
      <alignment vertical="center"/>
    </xf>
    <xf numFmtId="0" fontId="4" fillId="0" borderId="0" xfId="544" applyFont="1" applyBorder="1" applyProtection="1">
      <protection locked="0"/>
    </xf>
    <xf numFmtId="0" fontId="4" fillId="0" borderId="0" xfId="544" applyFont="1" applyProtection="1">
      <protection locked="0"/>
    </xf>
    <xf numFmtId="0" fontId="4" fillId="27" borderId="0" xfId="544" applyFont="1" applyFill="1" applyBorder="1" applyProtection="1">
      <protection locked="0"/>
    </xf>
    <xf numFmtId="0" fontId="4" fillId="0" borderId="0" xfId="544" applyFont="1" applyBorder="1" applyAlignment="1" applyProtection="1"/>
    <xf numFmtId="0" fontId="2" fillId="2" borderId="0" xfId="544" applyFont="1" applyFill="1" applyBorder="1" applyProtection="1">
      <protection locked="0"/>
    </xf>
    <xf numFmtId="0" fontId="2" fillId="27" borderId="0" xfId="544" applyFont="1" applyFill="1" applyBorder="1" applyProtection="1">
      <protection locked="0"/>
    </xf>
    <xf numFmtId="0" fontId="2" fillId="2" borderId="0" xfId="544" applyFont="1" applyFill="1" applyProtection="1">
      <protection locked="0"/>
    </xf>
    <xf numFmtId="168" fontId="2" fillId="27" borderId="19" xfId="544" applyNumberFormat="1" applyFont="1" applyFill="1" applyBorder="1" applyAlignment="1" applyProtection="1">
      <alignment horizontal="left" vertical="center"/>
    </xf>
    <xf numFmtId="168" fontId="2" fillId="0" borderId="19" xfId="544" applyNumberFormat="1" applyFont="1" applyBorder="1" applyAlignment="1" applyProtection="1">
      <alignment horizontal="left" vertical="center"/>
      <protection locked="0"/>
    </xf>
    <xf numFmtId="0" fontId="2" fillId="27" borderId="0" xfId="544" applyFont="1" applyFill="1" applyBorder="1" applyAlignment="1" applyProtection="1">
      <alignment horizontal="center" vertical="center"/>
      <protection locked="0"/>
    </xf>
    <xf numFmtId="168" fontId="2" fillId="0" borderId="15" xfId="544" applyNumberFormat="1" applyFont="1" applyBorder="1" applyAlignment="1" applyProtection="1">
      <alignment horizontal="left" vertical="center"/>
    </xf>
    <xf numFmtId="0" fontId="2" fillId="2" borderId="0" xfId="544" applyFont="1" applyFill="1" applyAlignment="1" applyProtection="1">
      <alignment horizontal="left" vertical="center"/>
      <protection locked="0"/>
    </xf>
    <xf numFmtId="0" fontId="2" fillId="27" borderId="0" xfId="544" applyFont="1" applyFill="1" applyBorder="1" applyAlignment="1" applyProtection="1">
      <alignment horizontal="left" vertical="center"/>
      <protection locked="0"/>
    </xf>
    <xf numFmtId="0" fontId="5" fillId="27" borderId="0" xfId="544" applyFont="1" applyFill="1" applyBorder="1" applyAlignment="1" applyProtection="1">
      <alignment horizontal="left" vertical="center" wrapText="1"/>
    </xf>
    <xf numFmtId="0" fontId="5" fillId="27" borderId="0" xfId="544" applyFont="1" applyFill="1" applyBorder="1" applyAlignment="1" applyProtection="1">
      <alignment vertical="center" wrapText="1"/>
    </xf>
    <xf numFmtId="0" fontId="4" fillId="0" borderId="0" xfId="544" applyFont="1" applyBorder="1" applyAlignment="1" applyProtection="1">
      <alignment vertical="center"/>
    </xf>
    <xf numFmtId="0" fontId="5" fillId="27" borderId="0" xfId="544" applyFont="1" applyFill="1" applyBorder="1" applyAlignment="1" applyProtection="1">
      <alignment vertical="center"/>
    </xf>
    <xf numFmtId="0" fontId="4" fillId="27" borderId="0" xfId="544" applyFont="1" applyFill="1" applyBorder="1" applyAlignment="1" applyProtection="1">
      <alignment vertical="center"/>
    </xf>
    <xf numFmtId="0" fontId="4" fillId="2" borderId="0" xfId="544" applyFont="1" applyFill="1" applyBorder="1" applyAlignment="1" applyProtection="1">
      <alignment horizontal="left" vertical="center"/>
      <protection locked="0"/>
    </xf>
    <xf numFmtId="0" fontId="4" fillId="2" borderId="0" xfId="544" applyFont="1" applyFill="1" applyAlignment="1" applyProtection="1">
      <alignment horizontal="left" vertical="center"/>
      <protection locked="0"/>
    </xf>
    <xf numFmtId="0" fontId="4" fillId="0" borderId="19" xfId="544" applyFont="1" applyBorder="1" applyAlignment="1" applyProtection="1">
      <alignment horizontal="center" vertical="center"/>
      <protection locked="0"/>
    </xf>
    <xf numFmtId="0" fontId="2" fillId="2" borderId="0" xfId="544" applyFont="1" applyFill="1" applyBorder="1" applyAlignment="1" applyProtection="1">
      <alignment vertical="center"/>
      <protection locked="0"/>
    </xf>
    <xf numFmtId="0" fontId="2" fillId="2" borderId="0" xfId="544" applyFont="1" applyFill="1" applyAlignment="1" applyProtection="1">
      <alignment vertical="center"/>
      <protection locked="0"/>
    </xf>
    <xf numFmtId="0" fontId="43" fillId="2" borderId="0" xfId="544" applyFont="1" applyFill="1" applyBorder="1" applyAlignment="1" applyProtection="1">
      <alignment vertical="center"/>
      <protection locked="0"/>
    </xf>
    <xf numFmtId="0" fontId="43" fillId="2" borderId="0" xfId="544" applyFont="1" applyFill="1" applyAlignment="1" applyProtection="1">
      <alignment vertical="center"/>
      <protection locked="0"/>
    </xf>
    <xf numFmtId="0" fontId="5" fillId="25" borderId="11" xfId="544" applyFont="1" applyFill="1" applyBorder="1" applyAlignment="1" applyProtection="1">
      <alignment vertical="center" wrapText="1"/>
    </xf>
    <xf numFmtId="0" fontId="43" fillId="2" borderId="0" xfId="544" applyFont="1" applyFill="1" applyBorder="1" applyAlignment="1" applyProtection="1">
      <alignment vertical="center"/>
    </xf>
    <xf numFmtId="0" fontId="43" fillId="2" borderId="0" xfId="544" applyFont="1" applyFill="1" applyAlignment="1" applyProtection="1">
      <alignment vertical="center"/>
    </xf>
    <xf numFmtId="0" fontId="43" fillId="26" borderId="252" xfId="544" applyFont="1" applyFill="1" applyBorder="1" applyAlignment="1" applyProtection="1">
      <alignment horizontal="center" vertical="center" wrapText="1"/>
    </xf>
    <xf numFmtId="0" fontId="2" fillId="2" borderId="0" xfId="544" applyFont="1" applyFill="1" applyBorder="1" applyAlignment="1" applyProtection="1">
      <alignment vertical="center"/>
    </xf>
    <xf numFmtId="0" fontId="2" fillId="2" borderId="0" xfId="544" applyFont="1" applyFill="1" applyAlignment="1" applyProtection="1">
      <alignment vertical="center"/>
    </xf>
    <xf numFmtId="0" fontId="2" fillId="0" borderId="253" xfId="544" applyFont="1" applyBorder="1" applyAlignment="1" applyProtection="1">
      <alignment horizontal="center" vertical="center"/>
    </xf>
    <xf numFmtId="0" fontId="2" fillId="2" borderId="0" xfId="544" applyFont="1" applyFill="1" applyBorder="1" applyProtection="1"/>
    <xf numFmtId="0" fontId="2" fillId="2" borderId="0" xfId="544" applyFont="1" applyFill="1" applyProtection="1"/>
    <xf numFmtId="0" fontId="43" fillId="26" borderId="253" xfId="544" applyFont="1" applyFill="1" applyBorder="1" applyAlignment="1" applyProtection="1">
      <alignment horizontal="center" vertical="center" wrapText="1"/>
    </xf>
    <xf numFmtId="1" fontId="133" fillId="0" borderId="264" xfId="544" applyNumberFormat="1" applyFont="1" applyBorder="1" applyAlignment="1" applyProtection="1">
      <alignment horizontal="center" vertical="center"/>
    </xf>
    <xf numFmtId="0" fontId="2" fillId="0" borderId="254" xfId="544" applyFont="1" applyBorder="1" applyAlignment="1" applyProtection="1">
      <alignment horizontal="center" vertical="center"/>
    </xf>
    <xf numFmtId="0" fontId="2" fillId="0" borderId="255" xfId="544" applyFont="1" applyBorder="1" applyAlignment="1" applyProtection="1">
      <alignment horizontal="center" vertical="center"/>
    </xf>
    <xf numFmtId="1" fontId="133" fillId="0" borderId="278" xfId="544" applyNumberFormat="1" applyFont="1" applyBorder="1" applyAlignment="1" applyProtection="1">
      <alignment horizontal="center" vertical="center"/>
    </xf>
    <xf numFmtId="0" fontId="2" fillId="0" borderId="256" xfId="544" applyFont="1" applyBorder="1" applyAlignment="1" applyProtection="1">
      <alignment horizontal="center" vertical="center"/>
    </xf>
    <xf numFmtId="1" fontId="133" fillId="0" borderId="38" xfId="544" applyNumberFormat="1" applyFont="1" applyBorder="1" applyAlignment="1" applyProtection="1">
      <alignment horizontal="center" vertical="center"/>
    </xf>
    <xf numFmtId="0" fontId="133" fillId="0" borderId="291" xfId="544" applyFont="1" applyBorder="1" applyAlignment="1" applyProtection="1">
      <alignment horizontal="center" vertical="center"/>
    </xf>
    <xf numFmtId="1" fontId="133" fillId="0" borderId="291" xfId="544" applyNumberFormat="1" applyFont="1" applyBorder="1" applyAlignment="1" applyProtection="1">
      <alignment horizontal="center" vertical="center"/>
    </xf>
    <xf numFmtId="1" fontId="133" fillId="0" borderId="366" xfId="544" applyNumberFormat="1" applyFont="1" applyBorder="1" applyAlignment="1" applyProtection="1">
      <alignment horizontal="center" vertical="center"/>
    </xf>
    <xf numFmtId="1" fontId="133" fillId="0" borderId="296" xfId="544" applyNumberFormat="1" applyFont="1" applyBorder="1" applyAlignment="1" applyProtection="1">
      <alignment horizontal="center" vertical="center"/>
    </xf>
    <xf numFmtId="1" fontId="5" fillId="0" borderId="20" xfId="544" applyNumberFormat="1" applyFont="1" applyBorder="1" applyAlignment="1" applyProtection="1">
      <alignment horizontal="center" vertical="center"/>
    </xf>
    <xf numFmtId="1" fontId="5" fillId="0" borderId="0" xfId="544" applyNumberFormat="1" applyFont="1" applyBorder="1" applyAlignment="1" applyProtection="1">
      <alignment horizontal="center" vertical="center"/>
    </xf>
    <xf numFmtId="1" fontId="5" fillId="0" borderId="274" xfId="544" applyNumberFormat="1" applyFont="1" applyBorder="1" applyAlignment="1" applyProtection="1">
      <alignment horizontal="center" vertical="center"/>
    </xf>
    <xf numFmtId="1" fontId="133" fillId="0" borderId="0" xfId="544" applyNumberFormat="1" applyFont="1" applyBorder="1" applyAlignment="1" applyProtection="1">
      <alignment horizontal="center" vertical="center"/>
    </xf>
    <xf numFmtId="0" fontId="2" fillId="2" borderId="20" xfId="544" applyFont="1" applyFill="1" applyBorder="1" applyProtection="1"/>
    <xf numFmtId="0" fontId="133" fillId="25" borderId="10" xfId="544" applyFont="1" applyFill="1" applyBorder="1" applyAlignment="1" applyProtection="1">
      <alignment horizontal="center" vertical="center" wrapText="1"/>
    </xf>
    <xf numFmtId="0" fontId="2" fillId="2" borderId="20" xfId="544" applyFont="1" applyFill="1" applyBorder="1" applyAlignment="1" applyProtection="1">
      <alignment vertical="center"/>
    </xf>
    <xf numFmtId="0" fontId="2" fillId="0" borderId="257" xfId="544" applyFont="1" applyBorder="1" applyAlignment="1" applyProtection="1">
      <alignment horizontal="center" vertical="center"/>
    </xf>
    <xf numFmtId="0" fontId="4" fillId="0" borderId="37" xfId="544" applyFont="1" applyBorder="1" applyAlignment="1" applyProtection="1">
      <alignment horizontal="left" vertical="center"/>
      <protection locked="0"/>
    </xf>
    <xf numFmtId="0" fontId="4" fillId="0" borderId="0" xfId="544" applyFont="1" applyBorder="1" applyAlignment="1" applyProtection="1">
      <alignment horizontal="left" vertical="center"/>
      <protection locked="0"/>
    </xf>
    <xf numFmtId="0" fontId="4" fillId="0" borderId="0" xfId="544" applyFont="1" applyBorder="1" applyAlignment="1" applyProtection="1">
      <alignment horizontal="center" vertical="center"/>
      <protection locked="0"/>
    </xf>
    <xf numFmtId="1" fontId="5" fillId="0" borderId="0" xfId="544" applyNumberFormat="1" applyFont="1" applyBorder="1" applyAlignment="1" applyProtection="1">
      <alignment horizontal="center" vertical="center"/>
      <protection locked="0"/>
    </xf>
    <xf numFmtId="0" fontId="4" fillId="0" borderId="41" xfId="544" applyFont="1" applyBorder="1" applyAlignment="1" applyProtection="1">
      <alignment horizontal="center" vertical="center"/>
      <protection locked="0"/>
    </xf>
    <xf numFmtId="0" fontId="4" fillId="2" borderId="0" xfId="544" applyFont="1" applyFill="1" applyBorder="1" applyProtection="1">
      <protection locked="0"/>
    </xf>
    <xf numFmtId="0" fontId="4" fillId="2" borderId="0" xfId="544" applyFont="1" applyFill="1" applyProtection="1">
      <protection locked="0"/>
    </xf>
    <xf numFmtId="0" fontId="5" fillId="27" borderId="0" xfId="544" applyFont="1" applyFill="1" applyBorder="1" applyAlignment="1" applyProtection="1">
      <alignment horizontal="center" vertical="center"/>
      <protection locked="0"/>
    </xf>
    <xf numFmtId="0" fontId="4" fillId="2" borderId="0" xfId="544" applyFont="1" applyFill="1" applyBorder="1" applyAlignment="1" applyProtection="1">
      <alignment horizontal="center"/>
      <protection locked="0"/>
    </xf>
    <xf numFmtId="0" fontId="4" fillId="0" borderId="0" xfId="544" applyFont="1" applyAlignment="1" applyProtection="1">
      <alignment horizontal="center"/>
      <protection locked="0"/>
    </xf>
    <xf numFmtId="0" fontId="4" fillId="0" borderId="20" xfId="544" applyFont="1" applyBorder="1" applyProtection="1">
      <protection locked="0"/>
    </xf>
    <xf numFmtId="0" fontId="1" fillId="0" borderId="14" xfId="71" applyFont="1" applyBorder="1" applyProtection="1">
      <protection locked="0"/>
    </xf>
    <xf numFmtId="0" fontId="1" fillId="0" borderId="0" xfId="71" applyFont="1" applyProtection="1">
      <protection locked="0"/>
    </xf>
    <xf numFmtId="0" fontId="1" fillId="0" borderId="20" xfId="71" applyFont="1" applyBorder="1" applyProtection="1">
      <protection locked="0"/>
    </xf>
    <xf numFmtId="0" fontId="1" fillId="0" borderId="16" xfId="71" applyFont="1" applyBorder="1" applyProtection="1">
      <protection locked="0"/>
    </xf>
    <xf numFmtId="0" fontId="4" fillId="0" borderId="0" xfId="21" applyFont="1" applyFill="1" applyProtection="1">
      <protection locked="0"/>
    </xf>
    <xf numFmtId="0" fontId="4" fillId="0" borderId="20" xfId="71" applyFont="1" applyFill="1" applyBorder="1" applyProtection="1"/>
    <xf numFmtId="0" fontId="3" fillId="27" borderId="0" xfId="71" applyFont="1" applyFill="1" applyBorder="1" applyAlignment="1" applyProtection="1">
      <alignment horizontal="center" vertical="center" wrapText="1"/>
    </xf>
    <xf numFmtId="0" fontId="4" fillId="27" borderId="0" xfId="71" applyFont="1" applyFill="1" applyBorder="1" applyProtection="1"/>
    <xf numFmtId="0" fontId="5" fillId="27" borderId="0" xfId="71" applyFont="1" applyFill="1" applyBorder="1" applyAlignment="1" applyProtection="1">
      <alignment horizontal="center"/>
    </xf>
    <xf numFmtId="0" fontId="4" fillId="27" borderId="0" xfId="71" applyFont="1" applyFill="1" applyBorder="1" applyAlignment="1" applyProtection="1">
      <alignment horizontal="center"/>
    </xf>
    <xf numFmtId="0" fontId="4" fillId="27" borderId="19" xfId="71" applyFont="1" applyFill="1" applyBorder="1" applyAlignment="1" applyProtection="1">
      <alignment horizontal="center"/>
    </xf>
    <xf numFmtId="0" fontId="4" fillId="0" borderId="0" xfId="71" applyFont="1" applyFill="1" applyProtection="1">
      <protection locked="0"/>
    </xf>
    <xf numFmtId="0" fontId="4" fillId="0" borderId="19" xfId="71" applyFont="1" applyFill="1" applyBorder="1" applyProtection="1"/>
    <xf numFmtId="0" fontId="4" fillId="27" borderId="18" xfId="71" applyFont="1" applyFill="1" applyBorder="1" applyAlignment="1" applyProtection="1">
      <alignment horizontal="center" vertical="center"/>
    </xf>
    <xf numFmtId="0" fontId="5" fillId="27" borderId="19" xfId="71" applyFont="1" applyFill="1" applyBorder="1" applyAlignment="1" applyProtection="1">
      <alignment horizontal="center" vertical="center"/>
    </xf>
    <xf numFmtId="0" fontId="4" fillId="27" borderId="372" xfId="71" applyFont="1" applyFill="1" applyBorder="1" applyAlignment="1" applyProtection="1">
      <alignment horizontal="center" vertical="center"/>
    </xf>
    <xf numFmtId="0" fontId="4" fillId="0" borderId="372" xfId="71" applyFont="1" applyFill="1" applyBorder="1" applyAlignment="1" applyProtection="1">
      <alignment horizontal="center" vertical="center" wrapText="1"/>
    </xf>
    <xf numFmtId="167" fontId="1" fillId="0" borderId="19" xfId="71" applyNumberFormat="1" applyFont="1" applyFill="1" applyBorder="1" applyAlignment="1" applyProtection="1">
      <alignment vertical="center"/>
    </xf>
    <xf numFmtId="0" fontId="4" fillId="0" borderId="57" xfId="71" applyFont="1" applyFill="1" applyBorder="1" applyAlignment="1" applyProtection="1">
      <alignment horizontal="center"/>
      <protection locked="0"/>
    </xf>
    <xf numFmtId="0" fontId="4" fillId="27" borderId="372" xfId="71" applyFont="1" applyFill="1" applyBorder="1" applyAlignment="1" applyProtection="1">
      <alignment horizontal="center" vertical="center" wrapText="1"/>
    </xf>
    <xf numFmtId="0" fontId="5" fillId="0" borderId="15" xfId="71" applyFont="1" applyFill="1" applyBorder="1" applyAlignment="1" applyProtection="1">
      <alignment horizontal="center" vertical="center" wrapText="1"/>
    </xf>
    <xf numFmtId="167" fontId="1" fillId="0" borderId="19" xfId="71" applyNumberFormat="1" applyFont="1" applyBorder="1" applyAlignment="1" applyProtection="1">
      <alignment vertical="center"/>
    </xf>
    <xf numFmtId="0" fontId="1" fillId="0" borderId="16" xfId="21" applyFont="1" applyFill="1" applyBorder="1" applyAlignment="1" applyProtection="1">
      <alignment vertical="center"/>
    </xf>
    <xf numFmtId="0" fontId="1" fillId="0" borderId="65" xfId="71" applyFont="1" applyFill="1" applyBorder="1" applyProtection="1"/>
    <xf numFmtId="0" fontId="1" fillId="0" borderId="0" xfId="71" applyFont="1" applyFill="1" applyBorder="1" applyProtection="1"/>
    <xf numFmtId="0" fontId="1" fillId="0" borderId="0" xfId="21" applyFont="1" applyFill="1" applyProtection="1">
      <protection locked="0"/>
    </xf>
    <xf numFmtId="0" fontId="2" fillId="0" borderId="0" xfId="21" applyFont="1" applyFill="1" applyProtection="1">
      <protection locked="0"/>
    </xf>
    <xf numFmtId="1" fontId="191" fillId="0" borderId="15" xfId="544" applyNumberFormat="1" applyFont="1" applyBorder="1" applyAlignment="1" applyProtection="1">
      <alignment horizontal="center" vertical="center"/>
    </xf>
    <xf numFmtId="0" fontId="140" fillId="0" borderId="374" xfId="544" applyFont="1" applyBorder="1" applyAlignment="1" applyProtection="1">
      <alignment horizontal="center" vertical="center"/>
    </xf>
    <xf numFmtId="1" fontId="189" fillId="0" borderId="377" xfId="544" applyNumberFormat="1" applyFont="1" applyBorder="1" applyAlignment="1" applyProtection="1">
      <alignment horizontal="center" vertical="center"/>
    </xf>
    <xf numFmtId="0" fontId="191" fillId="27" borderId="357" xfId="544" applyFont="1" applyFill="1" applyBorder="1" applyAlignment="1" applyProtection="1">
      <alignment horizontal="center" vertical="center" wrapText="1"/>
    </xf>
    <xf numFmtId="0" fontId="2" fillId="2" borderId="384" xfId="544" applyFont="1" applyFill="1" applyBorder="1" applyAlignment="1" applyProtection="1">
      <alignment vertical="center"/>
      <protection locked="0"/>
    </xf>
    <xf numFmtId="0" fontId="43" fillId="27" borderId="347" xfId="71" applyFont="1" applyFill="1" applyBorder="1" applyAlignment="1" applyProtection="1">
      <alignment vertical="center" wrapText="1"/>
    </xf>
    <xf numFmtId="0" fontId="2" fillId="2" borderId="347" xfId="150" applyFont="1" applyFill="1" applyBorder="1" applyAlignment="1" applyProtection="1">
      <alignment horizontal="left" vertical="center"/>
    </xf>
    <xf numFmtId="1" fontId="4" fillId="2" borderId="0" xfId="21" applyNumberFormat="1" applyFont="1" applyFill="1" applyBorder="1" applyAlignment="1" applyProtection="1">
      <alignment horizontal="center" vertical="center"/>
      <protection locked="0"/>
    </xf>
    <xf numFmtId="167" fontId="4" fillId="2" borderId="0" xfId="21" applyNumberFormat="1" applyFont="1" applyFill="1" applyBorder="1" applyAlignment="1" applyProtection="1">
      <alignment horizontal="center" vertical="center"/>
      <protection locked="0"/>
    </xf>
    <xf numFmtId="167" fontId="2" fillId="2" borderId="0" xfId="21" applyNumberFormat="1" applyFont="1" applyFill="1" applyBorder="1" applyAlignment="1" applyProtection="1">
      <alignment horizontal="center" vertical="center"/>
      <protection locked="0"/>
    </xf>
    <xf numFmtId="167" fontId="155" fillId="2" borderId="0" xfId="21" applyNumberFormat="1" applyFont="1" applyFill="1" applyBorder="1" applyAlignment="1" applyProtection="1">
      <alignment horizontal="center" vertical="center"/>
    </xf>
    <xf numFmtId="0" fontId="1" fillId="2" borderId="0" xfId="21" applyFill="1" applyProtection="1">
      <protection locked="0"/>
    </xf>
    <xf numFmtId="0" fontId="155" fillId="2" borderId="347" xfId="21" applyFont="1" applyFill="1" applyBorder="1" applyProtection="1">
      <protection locked="0"/>
    </xf>
    <xf numFmtId="0" fontId="156" fillId="2" borderId="347" xfId="21" applyFont="1" applyFill="1" applyBorder="1" applyAlignment="1" applyProtection="1">
      <alignment horizontal="center" vertical="center"/>
    </xf>
    <xf numFmtId="0" fontId="1" fillId="2" borderId="347" xfId="21" applyFont="1" applyFill="1" applyBorder="1" applyProtection="1">
      <protection locked="0"/>
    </xf>
    <xf numFmtId="0" fontId="2" fillId="2" borderId="347" xfId="21" applyFont="1" applyFill="1" applyBorder="1" applyProtection="1">
      <protection locked="0"/>
    </xf>
    <xf numFmtId="0" fontId="39" fillId="2" borderId="347" xfId="21" applyFont="1" applyFill="1" applyBorder="1" applyProtection="1">
      <protection locked="0"/>
    </xf>
    <xf numFmtId="1" fontId="12" fillId="2" borderId="0" xfId="21" applyNumberFormat="1" applyFont="1" applyFill="1" applyBorder="1" applyAlignment="1" applyProtection="1">
      <alignment horizontal="center" vertical="center"/>
      <protection locked="0"/>
    </xf>
    <xf numFmtId="1" fontId="192" fillId="2" borderId="57" xfId="21" applyNumberFormat="1" applyFont="1" applyFill="1" applyBorder="1" applyAlignment="1" applyProtection="1">
      <alignment horizontal="center" vertical="center"/>
      <protection locked="0"/>
    </xf>
    <xf numFmtId="1" fontId="12" fillId="2" borderId="57" xfId="21" applyNumberFormat="1" applyFont="1" applyFill="1" applyBorder="1" applyAlignment="1" applyProtection="1">
      <alignment horizontal="center" vertical="center"/>
      <protection locked="0"/>
    </xf>
    <xf numFmtId="0" fontId="175" fillId="2" borderId="0" xfId="21" applyFont="1" applyFill="1" applyProtection="1"/>
    <xf numFmtId="1" fontId="192" fillId="28" borderId="57" xfId="21" applyNumberFormat="1" applyFont="1" applyFill="1" applyBorder="1" applyAlignment="1" applyProtection="1">
      <alignment horizontal="center" vertical="center"/>
      <protection locked="0"/>
    </xf>
    <xf numFmtId="1" fontId="12" fillId="28" borderId="57" xfId="21" applyNumberFormat="1" applyFont="1" applyFill="1" applyBorder="1" applyAlignment="1" applyProtection="1">
      <alignment horizontal="center" vertical="center"/>
      <protection locked="0"/>
    </xf>
    <xf numFmtId="0" fontId="12" fillId="2" borderId="57" xfId="21" applyFont="1" applyFill="1" applyBorder="1" applyAlignment="1" applyProtection="1">
      <alignment horizontal="center" vertical="center"/>
      <protection locked="0"/>
    </xf>
    <xf numFmtId="172" fontId="192" fillId="27" borderId="57" xfId="1" applyNumberFormat="1" applyFont="1" applyFill="1" applyBorder="1" applyAlignment="1" applyProtection="1">
      <alignment horizontal="center" vertical="center" wrapText="1"/>
    </xf>
    <xf numFmtId="172" fontId="192" fillId="27" borderId="57" xfId="1" applyNumberFormat="1" applyFont="1" applyFill="1" applyBorder="1" applyAlignment="1" applyProtection="1">
      <alignment vertical="center" wrapText="1"/>
    </xf>
    <xf numFmtId="0" fontId="12" fillId="2" borderId="57" xfId="21" applyFont="1" applyFill="1" applyBorder="1" applyProtection="1">
      <protection locked="0"/>
    </xf>
    <xf numFmtId="12" fontId="192" fillId="27" borderId="57" xfId="1" applyNumberFormat="1" applyFont="1" applyFill="1" applyBorder="1" applyAlignment="1" applyProtection="1">
      <alignment vertical="center" wrapText="1"/>
    </xf>
    <xf numFmtId="0" fontId="43" fillId="2" borderId="14" xfId="21" applyFont="1" applyFill="1" applyBorder="1" applyAlignment="1" applyProtection="1">
      <alignment vertical="center"/>
      <protection locked="0"/>
    </xf>
    <xf numFmtId="0" fontId="43" fillId="2" borderId="13" xfId="21" applyFont="1" applyFill="1" applyBorder="1" applyAlignment="1" applyProtection="1">
      <alignment vertical="center"/>
      <protection locked="0"/>
    </xf>
    <xf numFmtId="0" fontId="43" fillId="2" borderId="18" xfId="21" applyFont="1" applyFill="1" applyBorder="1" applyAlignment="1" applyProtection="1">
      <alignment vertical="center"/>
      <protection locked="0"/>
    </xf>
    <xf numFmtId="0" fontId="43" fillId="2" borderId="16" xfId="21" applyFont="1" applyFill="1" applyBorder="1" applyAlignment="1" applyProtection="1">
      <alignment vertical="center"/>
      <protection locked="0"/>
    </xf>
    <xf numFmtId="0" fontId="43" fillId="2" borderId="347" xfId="21" applyFont="1" applyFill="1" applyBorder="1" applyAlignment="1" applyProtection="1">
      <alignment vertical="center"/>
      <protection locked="0"/>
    </xf>
    <xf numFmtId="0" fontId="43" fillId="2" borderId="15" xfId="21" applyFont="1" applyFill="1" applyBorder="1" applyAlignment="1" applyProtection="1">
      <alignment vertical="center"/>
      <protection locked="0"/>
    </xf>
    <xf numFmtId="0" fontId="194" fillId="2" borderId="57" xfId="21" applyFont="1" applyFill="1" applyBorder="1" applyAlignment="1" applyProtection="1"/>
    <xf numFmtId="167" fontId="155" fillId="2" borderId="57" xfId="21" applyNumberFormat="1" applyFont="1" applyFill="1" applyBorder="1" applyProtection="1"/>
    <xf numFmtId="2" fontId="155" fillId="2" borderId="57" xfId="21" applyNumberFormat="1" applyFont="1" applyFill="1" applyBorder="1" applyProtection="1"/>
    <xf numFmtId="0" fontId="156" fillId="2" borderId="57" xfId="21" applyFont="1" applyFill="1" applyBorder="1" applyProtection="1"/>
    <xf numFmtId="0" fontId="4" fillId="0" borderId="20" xfId="71" applyFont="1" applyFill="1" applyBorder="1" applyAlignment="1" applyProtection="1">
      <alignment horizontal="left"/>
    </xf>
    <xf numFmtId="0" fontId="4" fillId="0" borderId="19" xfId="71" applyFont="1" applyFill="1" applyBorder="1" applyAlignment="1" applyProtection="1">
      <alignment horizontal="left"/>
    </xf>
    <xf numFmtId="0" fontId="4" fillId="27" borderId="372" xfId="71" applyFont="1" applyFill="1" applyBorder="1" applyAlignment="1" applyProtection="1">
      <alignment horizontal="left" vertical="center"/>
    </xf>
    <xf numFmtId="0" fontId="5" fillId="27" borderId="19" xfId="71" applyFont="1" applyFill="1" applyBorder="1" applyAlignment="1" applyProtection="1">
      <alignment horizontal="left" vertical="center"/>
    </xf>
    <xf numFmtId="0" fontId="4" fillId="0" borderId="0" xfId="71" applyFont="1" applyFill="1" applyAlignment="1" applyProtection="1">
      <alignment horizontal="left"/>
      <protection locked="0"/>
    </xf>
    <xf numFmtId="0" fontId="4" fillId="0" borderId="57" xfId="71" applyFont="1" applyFill="1" applyBorder="1" applyAlignment="1" applyProtection="1">
      <alignment horizontal="left"/>
      <protection locked="0"/>
    </xf>
    <xf numFmtId="0" fontId="43" fillId="27" borderId="0" xfId="1" applyFont="1" applyFill="1" applyBorder="1" applyAlignment="1" applyProtection="1">
      <alignment vertical="center"/>
    </xf>
    <xf numFmtId="0" fontId="43" fillId="27" borderId="0" xfId="0" applyFont="1" applyFill="1" applyBorder="1" applyAlignment="1" applyProtection="1">
      <alignment vertical="center"/>
    </xf>
    <xf numFmtId="0" fontId="1" fillId="0" borderId="0" xfId="21" applyFont="1" applyFill="1" applyBorder="1" applyAlignment="1" applyProtection="1">
      <alignment horizontal="center" vertical="center"/>
    </xf>
    <xf numFmtId="0" fontId="5" fillId="25" borderId="13" xfId="70" applyFont="1" applyFill="1" applyBorder="1" applyAlignment="1" applyProtection="1">
      <alignment horizontal="center" vertical="center" wrapText="1"/>
    </xf>
    <xf numFmtId="0" fontId="3" fillId="0" borderId="0" xfId="70" applyFont="1" applyFill="1" applyBorder="1" applyAlignment="1" applyProtection="1">
      <alignment horizontal="center"/>
    </xf>
    <xf numFmtId="0" fontId="129" fillId="27" borderId="347" xfId="1" applyFont="1" applyFill="1" applyBorder="1" applyAlignment="1" applyProtection="1">
      <alignment vertical="center"/>
      <protection locked="0"/>
    </xf>
    <xf numFmtId="0" fontId="43" fillId="0" borderId="347" xfId="1" applyFont="1" applyBorder="1" applyProtection="1">
      <protection locked="0"/>
    </xf>
    <xf numFmtId="0" fontId="2" fillId="0" borderId="347" xfId="1" applyFont="1" applyBorder="1" applyProtection="1">
      <protection locked="0"/>
    </xf>
    <xf numFmtId="0" fontId="4" fillId="0" borderId="347" xfId="1" applyFont="1" applyBorder="1" applyProtection="1">
      <protection locked="0"/>
    </xf>
    <xf numFmtId="0" fontId="132" fillId="25" borderId="347" xfId="70" applyFont="1" applyFill="1" applyBorder="1" applyAlignment="1" applyProtection="1">
      <alignment horizontal="center" vertical="center"/>
    </xf>
    <xf numFmtId="167" fontId="132" fillId="0" borderId="33" xfId="70" applyNumberFormat="1" applyFont="1" applyFill="1" applyBorder="1" applyAlignment="1" applyProtection="1">
      <alignment horizontal="center" vertical="center"/>
    </xf>
    <xf numFmtId="0" fontId="43" fillId="27" borderId="0" xfId="71" applyFont="1" applyFill="1" applyBorder="1" applyAlignment="1" applyProtection="1">
      <alignment vertical="center" wrapText="1"/>
    </xf>
    <xf numFmtId="0" fontId="43" fillId="27" borderId="347" xfId="71" applyFont="1" applyFill="1" applyBorder="1" applyAlignment="1" applyProtection="1">
      <alignment vertical="center" wrapText="1"/>
    </xf>
    <xf numFmtId="0" fontId="4" fillId="0" borderId="57" xfId="71" applyFont="1" applyFill="1" applyBorder="1" applyAlignment="1" applyProtection="1">
      <alignment horizontal="center"/>
      <protection locked="0"/>
    </xf>
    <xf numFmtId="0" fontId="4" fillId="27" borderId="372" xfId="71" applyFont="1" applyFill="1" applyBorder="1" applyAlignment="1" applyProtection="1">
      <alignment horizontal="left" vertical="center"/>
    </xf>
    <xf numFmtId="0" fontId="1" fillId="0" borderId="0" xfId="71" applyFont="1" applyFill="1" applyBorder="1" applyAlignment="1" applyProtection="1">
      <alignment vertical="center"/>
      <protection locked="0"/>
    </xf>
    <xf numFmtId="0" fontId="4" fillId="2" borderId="0" xfId="21" applyFont="1" applyFill="1" applyBorder="1" applyProtection="1">
      <protection locked="0"/>
    </xf>
    <xf numFmtId="0" fontId="2" fillId="27" borderId="18" xfId="71" applyFont="1" applyFill="1" applyBorder="1" applyAlignment="1" applyProtection="1">
      <alignment vertical="center" wrapText="1"/>
      <protection locked="0"/>
    </xf>
    <xf numFmtId="0" fontId="2" fillId="2" borderId="19" xfId="210" applyFont="1" applyFill="1" applyBorder="1" applyAlignment="1" applyProtection="1"/>
    <xf numFmtId="0" fontId="2" fillId="27" borderId="19" xfId="71" applyFont="1" applyFill="1" applyBorder="1" applyAlignment="1" applyProtection="1">
      <alignment wrapText="1"/>
    </xf>
    <xf numFmtId="168" fontId="2" fillId="27" borderId="19" xfId="71" applyNumberFormat="1" applyFont="1" applyFill="1" applyBorder="1" applyAlignment="1" applyProtection="1">
      <alignment vertical="center" wrapText="1"/>
    </xf>
    <xf numFmtId="168" fontId="2" fillId="27" borderId="19" xfId="71" applyNumberFormat="1" applyFont="1" applyFill="1" applyBorder="1" applyAlignment="1" applyProtection="1">
      <alignment vertical="center" wrapText="1"/>
      <protection locked="0"/>
    </xf>
    <xf numFmtId="0" fontId="158" fillId="27" borderId="0" xfId="208" applyFont="1" applyFill="1" applyBorder="1" applyAlignment="1" applyProtection="1">
      <alignment horizontal="center" vertical="center" wrapText="1"/>
      <protection locked="0"/>
    </xf>
    <xf numFmtId="0" fontId="157" fillId="43" borderId="0" xfId="0" applyFont="1" applyFill="1" applyBorder="1" applyAlignment="1" applyProtection="1">
      <alignment horizontal="center" vertical="center" wrapText="1"/>
      <protection locked="0"/>
    </xf>
    <xf numFmtId="0" fontId="158" fillId="27" borderId="0" xfId="0" applyFont="1" applyFill="1" applyBorder="1" applyAlignment="1" applyProtection="1">
      <alignment horizontal="center" vertical="center" wrapText="1"/>
      <protection locked="0"/>
    </xf>
    <xf numFmtId="0" fontId="2" fillId="27" borderId="0" xfId="71" applyFont="1" applyFill="1" applyBorder="1" applyAlignment="1" applyProtection="1">
      <alignment horizontal="left" vertical="center" wrapText="1"/>
    </xf>
    <xf numFmtId="0" fontId="43" fillId="27" borderId="20" xfId="71" applyFont="1" applyFill="1" applyBorder="1" applyAlignment="1" applyProtection="1">
      <alignment horizontal="left" vertical="center" wrapText="1"/>
    </xf>
    <xf numFmtId="0" fontId="43" fillId="27" borderId="0" xfId="0" applyFont="1" applyFill="1" applyBorder="1" applyAlignment="1" applyProtection="1">
      <alignment horizontal="left" vertical="center"/>
    </xf>
    <xf numFmtId="0" fontId="43" fillId="27" borderId="13" xfId="71" applyFont="1" applyFill="1" applyBorder="1" applyAlignment="1" applyProtection="1">
      <alignment vertical="center"/>
    </xf>
    <xf numFmtId="0" fontId="43" fillId="27" borderId="0" xfId="71" applyFont="1" applyFill="1" applyBorder="1" applyAlignment="1" applyProtection="1">
      <alignment vertical="center" wrapText="1"/>
    </xf>
    <xf numFmtId="0" fontId="43" fillId="27" borderId="0" xfId="71" applyFont="1" applyFill="1" applyBorder="1" applyAlignment="1" applyProtection="1">
      <alignment vertical="center"/>
    </xf>
    <xf numFmtId="0" fontId="43" fillId="27" borderId="0" xfId="71" applyFont="1" applyFill="1" applyBorder="1" applyAlignment="1" applyProtection="1">
      <alignment horizontal="left" vertical="center" wrapText="1"/>
    </xf>
    <xf numFmtId="0" fontId="2" fillId="27" borderId="0" xfId="71" applyFont="1" applyFill="1" applyBorder="1" applyAlignment="1" applyProtection="1">
      <alignment horizontal="left" vertical="center" wrapText="1"/>
    </xf>
    <xf numFmtId="0" fontId="43" fillId="27" borderId="20" xfId="71" applyFont="1" applyFill="1" applyBorder="1" applyAlignment="1" applyProtection="1">
      <alignment horizontal="left" vertical="center" wrapText="1"/>
    </xf>
    <xf numFmtId="0" fontId="43" fillId="27" borderId="154" xfId="71" applyFont="1" applyFill="1" applyBorder="1" applyAlignment="1" applyProtection="1">
      <alignment horizontal="left" vertical="center" wrapText="1"/>
    </xf>
    <xf numFmtId="0" fontId="43" fillId="0" borderId="0" xfId="70" applyFont="1" applyBorder="1" applyAlignment="1" applyProtection="1">
      <alignment vertical="center" wrapText="1"/>
    </xf>
    <xf numFmtId="188" fontId="43" fillId="0" borderId="154" xfId="21" applyNumberFormat="1" applyFont="1" applyFill="1" applyBorder="1" applyAlignment="1" applyProtection="1">
      <alignment vertical="center"/>
    </xf>
    <xf numFmtId="0" fontId="5" fillId="25" borderId="10" xfId="544" applyFont="1" applyFill="1" applyBorder="1" applyAlignment="1" applyProtection="1">
      <alignment horizontal="center" vertical="center" wrapText="1"/>
    </xf>
    <xf numFmtId="0" fontId="5" fillId="29" borderId="10" xfId="544" applyFont="1" applyFill="1" applyBorder="1" applyAlignment="1" applyProtection="1">
      <alignment horizontal="center" vertical="center" wrapText="1"/>
    </xf>
    <xf numFmtId="0" fontId="158" fillId="27" borderId="12" xfId="208" applyFont="1" applyFill="1" applyBorder="1" applyAlignment="1">
      <alignment vertical="center" wrapText="1"/>
    </xf>
    <xf numFmtId="0" fontId="158" fillId="27" borderId="11" xfId="208" applyFont="1" applyFill="1" applyBorder="1" applyAlignment="1">
      <alignment vertical="center" wrapText="1"/>
    </xf>
    <xf numFmtId="0" fontId="158" fillId="27" borderId="12" xfId="208" applyFont="1" applyFill="1" applyBorder="1" applyAlignment="1" applyProtection="1">
      <alignment vertical="center" wrapText="1"/>
    </xf>
    <xf numFmtId="0" fontId="158" fillId="27" borderId="11" xfId="208" applyFont="1" applyFill="1" applyBorder="1" applyAlignment="1" applyProtection="1">
      <alignment vertical="center" wrapText="1"/>
    </xf>
    <xf numFmtId="0" fontId="4" fillId="0" borderId="20" xfId="544" applyFont="1" applyBorder="1" applyAlignment="1" applyProtection="1"/>
    <xf numFmtId="0" fontId="4" fillId="0" borderId="19" xfId="544" applyFont="1" applyBorder="1" applyAlignment="1" applyProtection="1">
      <alignment horizontal="center"/>
    </xf>
    <xf numFmtId="0" fontId="2" fillId="2" borderId="396" xfId="544" applyFont="1" applyFill="1" applyBorder="1" applyAlignment="1" applyProtection="1">
      <alignment horizontal="left" vertical="center"/>
      <protection locked="0"/>
    </xf>
    <xf numFmtId="0" fontId="5" fillId="27" borderId="20" xfId="544" applyFont="1" applyFill="1" applyBorder="1" applyAlignment="1" applyProtection="1">
      <alignment horizontal="left" vertical="center" wrapText="1"/>
    </xf>
    <xf numFmtId="0" fontId="4" fillId="0" borderId="19" xfId="544" applyFont="1" applyBorder="1" applyAlignment="1" applyProtection="1">
      <alignment horizontal="center" vertical="center"/>
    </xf>
    <xf numFmtId="0" fontId="5" fillId="29" borderId="10" xfId="544" applyFont="1" applyFill="1" applyBorder="1" applyAlignment="1" applyProtection="1">
      <alignment horizontal="center" vertical="center"/>
      <protection locked="0"/>
    </xf>
    <xf numFmtId="0" fontId="133" fillId="0" borderId="399" xfId="544" applyFont="1" applyBorder="1" applyAlignment="1" applyProtection="1">
      <alignment horizontal="center" vertical="center"/>
    </xf>
    <xf numFmtId="1" fontId="133" fillId="0" borderId="267" xfId="544" applyNumberFormat="1" applyFont="1" applyBorder="1" applyAlignment="1" applyProtection="1">
      <alignment horizontal="center" vertical="center"/>
    </xf>
    <xf numFmtId="1" fontId="133" fillId="0" borderId="400" xfId="544" applyNumberFormat="1" applyFont="1" applyBorder="1" applyAlignment="1" applyProtection="1">
      <alignment horizontal="center" vertical="center"/>
    </xf>
    <xf numFmtId="1" fontId="133" fillId="0" borderId="273" xfId="544" applyNumberFormat="1" applyFont="1" applyBorder="1" applyAlignment="1" applyProtection="1">
      <alignment horizontal="center" vertical="center"/>
    </xf>
    <xf numFmtId="1" fontId="133" fillId="0" borderId="401" xfId="544" applyNumberFormat="1" applyFont="1" applyBorder="1" applyAlignment="1" applyProtection="1">
      <alignment horizontal="center" vertical="center"/>
    </xf>
    <xf numFmtId="0" fontId="133" fillId="0" borderId="402" xfId="544" applyFont="1" applyBorder="1" applyAlignment="1" applyProtection="1">
      <alignment horizontal="center" vertical="center"/>
    </xf>
    <xf numFmtId="1" fontId="133" fillId="0" borderId="143" xfId="544" applyNumberFormat="1" applyFont="1" applyBorder="1" applyAlignment="1" applyProtection="1">
      <alignment horizontal="center" vertical="center"/>
    </xf>
    <xf numFmtId="1" fontId="133" fillId="0" borderId="374" xfId="544" applyNumberFormat="1" applyFont="1" applyBorder="1" applyAlignment="1" applyProtection="1">
      <alignment horizontal="center" vertical="center" wrapText="1"/>
    </xf>
    <xf numFmtId="0" fontId="158" fillId="45" borderId="57" xfId="208" applyFont="1" applyFill="1" applyBorder="1" applyAlignment="1">
      <alignment horizontal="center" vertical="center" wrapText="1"/>
    </xf>
    <xf numFmtId="0" fontId="41" fillId="0" borderId="0" xfId="208" applyFont="1" applyAlignment="1">
      <alignment horizontal="center" vertical="center"/>
    </xf>
    <xf numFmtId="0" fontId="158" fillId="46" borderId="57" xfId="208" applyFont="1" applyFill="1" applyBorder="1" applyAlignment="1">
      <alignment horizontal="center" vertical="center" wrapText="1"/>
    </xf>
    <xf numFmtId="0" fontId="158" fillId="27" borderId="12" xfId="208" applyFont="1" applyFill="1" applyBorder="1" applyAlignment="1" applyProtection="1">
      <alignment horizontal="center" vertical="center" wrapText="1"/>
    </xf>
    <xf numFmtId="0" fontId="43" fillId="27" borderId="13" xfId="0" applyFont="1" applyFill="1" applyBorder="1" applyAlignment="1" applyProtection="1">
      <alignment vertical="center"/>
    </xf>
    <xf numFmtId="0" fontId="2" fillId="0" borderId="0" xfId="546" applyFont="1" applyFill="1" applyBorder="1" applyAlignment="1" applyProtection="1">
      <alignment horizontal="right" vertical="center" wrapText="1"/>
    </xf>
    <xf numFmtId="0" fontId="43" fillId="27" borderId="20" xfId="208" applyFont="1" applyFill="1" applyBorder="1" applyAlignment="1" applyProtection="1">
      <alignment vertical="center"/>
    </xf>
    <xf numFmtId="0" fontId="43" fillId="27" borderId="0" xfId="208" applyFont="1" applyFill="1" applyBorder="1" applyAlignment="1" applyProtection="1">
      <alignment vertical="center"/>
    </xf>
    <xf numFmtId="0" fontId="43" fillId="27" borderId="16" xfId="208" applyFont="1" applyFill="1" applyBorder="1" applyAlignment="1" applyProtection="1">
      <alignment vertical="center"/>
    </xf>
    <xf numFmtId="0" fontId="43" fillId="27" borderId="347" xfId="208" applyFont="1" applyFill="1" applyBorder="1" applyAlignment="1" applyProtection="1">
      <alignment vertical="center"/>
    </xf>
    <xf numFmtId="0" fontId="43" fillId="0" borderId="347" xfId="208" applyFont="1" applyBorder="1" applyAlignment="1" applyProtection="1">
      <alignment vertical="center"/>
    </xf>
    <xf numFmtId="0" fontId="43" fillId="27" borderId="0" xfId="208" applyFont="1" applyFill="1" applyBorder="1" applyAlignment="1" applyProtection="1">
      <alignment vertical="top"/>
    </xf>
    <xf numFmtId="0" fontId="43" fillId="27" borderId="14" xfId="208" applyFont="1" applyFill="1" applyBorder="1" applyAlignment="1" applyProtection="1">
      <alignment vertical="center"/>
    </xf>
    <xf numFmtId="0" fontId="43" fillId="27" borderId="13" xfId="208" applyFont="1" applyFill="1" applyBorder="1" applyAlignment="1" applyProtection="1">
      <alignment vertical="center"/>
    </xf>
    <xf numFmtId="0" fontId="2" fillId="27" borderId="13" xfId="208" applyFont="1" applyFill="1" applyBorder="1" applyAlignment="1" applyProtection="1">
      <alignment vertical="center"/>
      <protection locked="0"/>
    </xf>
    <xf numFmtId="0" fontId="2" fillId="2" borderId="13" xfId="544" applyFont="1" applyFill="1" applyBorder="1" applyAlignment="1" applyProtection="1">
      <alignment vertical="center"/>
      <protection locked="0"/>
    </xf>
    <xf numFmtId="0" fontId="2" fillId="2" borderId="18" xfId="544" applyFont="1" applyFill="1" applyBorder="1" applyAlignment="1" applyProtection="1">
      <alignment vertical="center"/>
      <protection locked="0"/>
    </xf>
    <xf numFmtId="0" fontId="2" fillId="27" borderId="0" xfId="208" applyFont="1" applyFill="1" applyBorder="1" applyAlignment="1" applyProtection="1">
      <alignment vertical="top"/>
      <protection locked="0"/>
    </xf>
    <xf numFmtId="168" fontId="2" fillId="27" borderId="0" xfId="208" applyNumberFormat="1" applyFont="1" applyFill="1" applyBorder="1" applyAlignment="1" applyProtection="1">
      <alignment vertical="top"/>
      <protection locked="0"/>
    </xf>
    <xf numFmtId="168" fontId="2" fillId="27" borderId="19" xfId="208" applyNumberFormat="1" applyFont="1" applyFill="1" applyBorder="1" applyAlignment="1" applyProtection="1">
      <alignment vertical="top"/>
      <protection locked="0"/>
    </xf>
    <xf numFmtId="0" fontId="2" fillId="27" borderId="347" xfId="208" applyFont="1" applyFill="1" applyBorder="1" applyAlignment="1" applyProtection="1">
      <alignment vertical="center"/>
      <protection locked="0"/>
    </xf>
    <xf numFmtId="0" fontId="5" fillId="0" borderId="30" xfId="21" applyFont="1" applyFill="1" applyBorder="1" applyAlignment="1" applyProtection="1">
      <protection locked="0"/>
    </xf>
    <xf numFmtId="0" fontId="4" fillId="0" borderId="63" xfId="21" applyFont="1" applyFill="1" applyBorder="1" applyAlignment="1" applyProtection="1">
      <protection locked="0"/>
    </xf>
    <xf numFmtId="0" fontId="1" fillId="27" borderId="63" xfId="21" applyFont="1" applyFill="1" applyBorder="1" applyAlignment="1" applyProtection="1">
      <protection locked="0"/>
    </xf>
    <xf numFmtId="0" fontId="1" fillId="0" borderId="63" xfId="21" applyFont="1" applyFill="1" applyBorder="1" applyAlignment="1" applyProtection="1">
      <protection locked="0"/>
    </xf>
    <xf numFmtId="0" fontId="44" fillId="0" borderId="64" xfId="21" applyFont="1" applyFill="1" applyBorder="1" applyAlignment="1" applyProtection="1">
      <protection locked="0"/>
    </xf>
    <xf numFmtId="2" fontId="5" fillId="0" borderId="0" xfId="546" applyNumberFormat="1" applyFont="1" applyFill="1" applyBorder="1" applyAlignment="1" applyProtection="1">
      <alignment horizontal="center" vertical="center"/>
    </xf>
    <xf numFmtId="0" fontId="2" fillId="0" borderId="0" xfId="546" applyFont="1" applyFill="1" applyBorder="1" applyAlignment="1" applyProtection="1">
      <alignment horizontal="center" vertical="center" wrapText="1"/>
    </xf>
    <xf numFmtId="0" fontId="3" fillId="27" borderId="99" xfId="71" applyFont="1" applyFill="1" applyBorder="1" applyAlignment="1" applyProtection="1">
      <alignment vertical="top" wrapText="1"/>
      <protection locked="0"/>
    </xf>
    <xf numFmtId="0" fontId="3" fillId="27" borderId="35" xfId="71" applyFont="1" applyFill="1" applyBorder="1" applyAlignment="1" applyProtection="1">
      <alignment vertical="top" wrapText="1"/>
      <protection locked="0"/>
    </xf>
    <xf numFmtId="0" fontId="3" fillId="27" borderId="137" xfId="71" applyFont="1" applyFill="1" applyBorder="1" applyAlignment="1" applyProtection="1">
      <alignment vertical="top" wrapText="1"/>
      <protection locked="0"/>
    </xf>
    <xf numFmtId="0" fontId="2" fillId="0" borderId="0" xfId="546" applyFont="1" applyBorder="1" applyAlignment="1" applyProtection="1">
      <alignment horizontal="left" vertical="center" wrapText="1"/>
    </xf>
    <xf numFmtId="0" fontId="2" fillId="0" borderId="0" xfId="546" applyFont="1" applyFill="1" applyBorder="1" applyAlignment="1" applyProtection="1">
      <alignment horizontal="left" vertical="center"/>
    </xf>
    <xf numFmtId="2" fontId="43" fillId="0" borderId="0" xfId="546" applyNumberFormat="1" applyFont="1" applyFill="1" applyBorder="1" applyAlignment="1" applyProtection="1">
      <alignment horizontal="center" vertical="center"/>
    </xf>
    <xf numFmtId="173" fontId="1" fillId="0" borderId="0" xfId="546" applyNumberFormat="1" applyFont="1" applyBorder="1" applyAlignment="1" applyProtection="1">
      <alignment horizontal="center"/>
    </xf>
    <xf numFmtId="168" fontId="4" fillId="0" borderId="0" xfId="546" applyNumberFormat="1" applyFont="1" applyFill="1" applyBorder="1" applyAlignment="1" applyProtection="1">
      <alignment vertical="center" wrapText="1"/>
    </xf>
    <xf numFmtId="0" fontId="2" fillId="0" borderId="0" xfId="546" applyFont="1" applyBorder="1" applyAlignment="1" applyProtection="1">
      <alignment horizontal="center" vertical="center"/>
      <protection locked="0"/>
    </xf>
    <xf numFmtId="2" fontId="43" fillId="27" borderId="0" xfId="546" applyNumberFormat="1" applyFont="1" applyFill="1" applyBorder="1" applyAlignment="1" applyProtection="1">
      <alignment horizontal="center" vertical="center"/>
      <protection locked="0"/>
    </xf>
    <xf numFmtId="0" fontId="3" fillId="30" borderId="0" xfId="546" applyFont="1" applyFill="1" applyBorder="1" applyAlignment="1" applyProtection="1">
      <alignment horizontal="center"/>
      <protection locked="0"/>
    </xf>
    <xf numFmtId="0" fontId="3" fillId="27" borderId="20" xfId="546" applyFont="1" applyFill="1" applyBorder="1" applyAlignment="1" applyProtection="1">
      <alignment horizontal="center" vertical="center"/>
    </xf>
    <xf numFmtId="0" fontId="3" fillId="27" borderId="0" xfId="546" applyFont="1" applyFill="1" applyBorder="1" applyAlignment="1" applyProtection="1">
      <alignment horizontal="center" vertical="center"/>
    </xf>
    <xf numFmtId="0" fontId="3" fillId="27" borderId="19" xfId="546" applyFont="1" applyFill="1" applyBorder="1" applyAlignment="1" applyProtection="1">
      <alignment horizontal="center" vertical="center"/>
    </xf>
    <xf numFmtId="0" fontId="1" fillId="27" borderId="20" xfId="546" applyFill="1" applyBorder="1" applyProtection="1"/>
    <xf numFmtId="0" fontId="1" fillId="27" borderId="0" xfId="546" applyFill="1" applyBorder="1" applyAlignment="1" applyProtection="1">
      <alignment vertical="center"/>
    </xf>
    <xf numFmtId="0" fontId="1" fillId="27" borderId="0" xfId="546" applyFill="1" applyBorder="1" applyProtection="1"/>
    <xf numFmtId="0" fontId="1" fillId="27" borderId="19" xfId="546" applyFill="1" applyBorder="1" applyProtection="1"/>
    <xf numFmtId="0" fontId="4" fillId="27" borderId="0" xfId="546" applyFont="1" applyFill="1" applyBorder="1" applyProtection="1">
      <protection locked="0"/>
    </xf>
    <xf numFmtId="0" fontId="1" fillId="0" borderId="61" xfId="71" applyFont="1" applyFill="1" applyBorder="1" applyAlignment="1" applyProtection="1">
      <alignment horizontal="center" vertical="center"/>
    </xf>
    <xf numFmtId="0" fontId="1" fillId="0" borderId="62" xfId="71" applyFont="1" applyFill="1" applyBorder="1" applyAlignment="1" applyProtection="1">
      <alignment horizontal="center" vertical="center"/>
    </xf>
    <xf numFmtId="0" fontId="1" fillId="0" borderId="0" xfId="21" applyFont="1" applyFill="1" applyBorder="1" applyAlignment="1" applyProtection="1">
      <alignment horizontal="center" vertical="center"/>
    </xf>
    <xf numFmtId="0" fontId="1" fillId="0" borderId="0" xfId="71" applyFont="1" applyFill="1" applyBorder="1" applyAlignment="1" applyProtection="1">
      <alignment horizontal="center"/>
    </xf>
    <xf numFmtId="0" fontId="51" fillId="0" borderId="0" xfId="71" applyFont="1" applyBorder="1" applyAlignment="1" applyProtection="1">
      <alignment horizontal="center" vertical="center"/>
    </xf>
    <xf numFmtId="0" fontId="1" fillId="0" borderId="0" xfId="71" applyFont="1" applyProtection="1"/>
    <xf numFmtId="0" fontId="1" fillId="47" borderId="0" xfId="71" applyFont="1" applyFill="1" applyProtection="1"/>
    <xf numFmtId="0" fontId="195" fillId="0" borderId="0" xfId="71" applyFont="1" applyBorder="1" applyAlignment="1" applyProtection="1">
      <alignment horizontal="left"/>
    </xf>
    <xf numFmtId="0" fontId="39" fillId="0" borderId="0" xfId="71" applyFont="1" applyBorder="1" applyAlignment="1" applyProtection="1"/>
    <xf numFmtId="0" fontId="4" fillId="0" borderId="397" xfId="21" applyFont="1" applyFill="1" applyBorder="1" applyAlignment="1" applyProtection="1"/>
    <xf numFmtId="0" fontId="4" fillId="0" borderId="395" xfId="21" applyFont="1" applyFill="1" applyBorder="1" applyAlignment="1" applyProtection="1"/>
    <xf numFmtId="0" fontId="4" fillId="0" borderId="395" xfId="21" applyFont="1" applyFill="1" applyBorder="1" applyProtection="1"/>
    <xf numFmtId="0" fontId="4" fillId="0" borderId="396" xfId="21" applyFont="1" applyFill="1" applyBorder="1" applyAlignment="1" applyProtection="1"/>
    <xf numFmtId="0" fontId="5" fillId="0" borderId="30" xfId="21" applyFont="1" applyFill="1" applyBorder="1" applyAlignment="1" applyProtection="1">
      <alignment horizontal="center"/>
    </xf>
    <xf numFmtId="0" fontId="3" fillId="0" borderId="397" xfId="21" applyFont="1" applyFill="1" applyBorder="1" applyAlignment="1" applyProtection="1">
      <alignment horizontal="center"/>
    </xf>
    <xf numFmtId="0" fontId="4" fillId="0" borderId="395" xfId="21" applyFont="1" applyFill="1" applyBorder="1" applyAlignment="1" applyProtection="1">
      <alignment horizontal="right"/>
    </xf>
    <xf numFmtId="0" fontId="5" fillId="0" borderId="395" xfId="21" applyFont="1" applyFill="1" applyBorder="1" applyAlignment="1" applyProtection="1"/>
    <xf numFmtId="0" fontId="5" fillId="0" borderId="0" xfId="21" applyFont="1" applyFill="1" applyAlignment="1" applyProtection="1">
      <alignment horizontal="center"/>
    </xf>
    <xf numFmtId="0" fontId="4" fillId="0" borderId="0" xfId="21" applyFont="1" applyFill="1" applyProtection="1"/>
    <xf numFmtId="0" fontId="4" fillId="0" borderId="20" xfId="21" applyFont="1" applyFill="1" applyBorder="1" applyAlignment="1" applyProtection="1"/>
    <xf numFmtId="0" fontId="4" fillId="27" borderId="0" xfId="21" applyFont="1" applyFill="1" applyBorder="1" applyAlignment="1" applyProtection="1"/>
    <xf numFmtId="0" fontId="4" fillId="27" borderId="0" xfId="21" applyFont="1" applyFill="1" applyBorder="1" applyProtection="1"/>
    <xf numFmtId="0" fontId="1" fillId="27" borderId="0" xfId="21" applyFont="1" applyFill="1" applyBorder="1" applyAlignment="1" applyProtection="1"/>
    <xf numFmtId="0" fontId="4" fillId="27" borderId="0" xfId="21" applyFont="1" applyFill="1" applyProtection="1"/>
    <xf numFmtId="0" fontId="197" fillId="27" borderId="0" xfId="21" applyFont="1" applyFill="1" applyBorder="1" applyAlignment="1" applyProtection="1"/>
    <xf numFmtId="0" fontId="4" fillId="27" borderId="19" xfId="21" applyFont="1" applyFill="1" applyBorder="1" applyAlignment="1" applyProtection="1"/>
    <xf numFmtId="0" fontId="4" fillId="48" borderId="64" xfId="21" applyFont="1" applyFill="1" applyBorder="1" applyAlignment="1" applyProtection="1">
      <protection locked="0"/>
    </xf>
    <xf numFmtId="0" fontId="4" fillId="0" borderId="63" xfId="21" applyFont="1" applyFill="1" applyBorder="1" applyAlignment="1" applyProtection="1"/>
    <xf numFmtId="0" fontId="1" fillId="0" borderId="20" xfId="21" applyFont="1" applyFill="1" applyBorder="1" applyAlignment="1" applyProtection="1"/>
    <xf numFmtId="0" fontId="3" fillId="25" borderId="20" xfId="21" applyFont="1" applyFill="1" applyBorder="1" applyAlignment="1" applyProtection="1">
      <alignment horizontal="center"/>
    </xf>
    <xf numFmtId="0" fontId="3" fillId="25" borderId="0" xfId="21" applyFont="1" applyFill="1" applyBorder="1" applyAlignment="1" applyProtection="1">
      <alignment horizontal="center"/>
    </xf>
    <xf numFmtId="0" fontId="3" fillId="25" borderId="19" xfId="21" applyFont="1" applyFill="1" applyBorder="1" applyAlignment="1" applyProtection="1">
      <alignment horizontal="center"/>
    </xf>
    <xf numFmtId="0" fontId="4" fillId="0" borderId="0" xfId="21" applyFont="1" applyFill="1" applyBorder="1" applyAlignment="1" applyProtection="1"/>
    <xf numFmtId="0" fontId="5" fillId="25" borderId="20" xfId="21" applyFont="1" applyFill="1" applyBorder="1" applyProtection="1"/>
    <xf numFmtId="0" fontId="5" fillId="25" borderId="0" xfId="21" applyFont="1" applyFill="1" applyBorder="1" applyAlignment="1" applyProtection="1">
      <alignment horizontal="center"/>
    </xf>
    <xf numFmtId="0" fontId="5" fillId="25" borderId="20" xfId="21" applyFont="1" applyFill="1" applyBorder="1" applyAlignment="1" applyProtection="1">
      <alignment horizontal="center"/>
    </xf>
    <xf numFmtId="0" fontId="5" fillId="25" borderId="19" xfId="21" applyFont="1" applyFill="1" applyBorder="1" applyAlignment="1" applyProtection="1">
      <alignment horizontal="center"/>
    </xf>
    <xf numFmtId="0" fontId="1" fillId="25" borderId="20" xfId="21" applyFont="1" applyFill="1" applyBorder="1" applyAlignment="1" applyProtection="1">
      <alignment vertical="center"/>
    </xf>
    <xf numFmtId="0" fontId="3" fillId="25" borderId="0" xfId="21" applyFont="1" applyFill="1" applyBorder="1" applyAlignment="1" applyProtection="1">
      <alignment vertical="center"/>
    </xf>
    <xf numFmtId="0" fontId="3" fillId="25" borderId="19" xfId="21" applyFont="1" applyFill="1" applyBorder="1" applyAlignment="1" applyProtection="1">
      <alignment vertical="center"/>
    </xf>
    <xf numFmtId="0" fontId="1" fillId="27" borderId="63" xfId="21" applyFont="1" applyFill="1" applyBorder="1" applyAlignment="1" applyProtection="1"/>
    <xf numFmtId="0" fontId="156" fillId="27" borderId="20" xfId="0" applyFont="1" applyFill="1" applyBorder="1" applyAlignment="1" applyProtection="1">
      <alignment horizontal="left" vertical="center" wrapText="1"/>
    </xf>
    <xf numFmtId="0" fontId="156" fillId="27" borderId="0" xfId="0" applyFont="1" applyFill="1" applyBorder="1" applyAlignment="1" applyProtection="1">
      <alignment horizontal="left" vertical="center" wrapText="1"/>
    </xf>
    <xf numFmtId="0" fontId="156" fillId="27" borderId="19" xfId="0" applyFont="1" applyFill="1" applyBorder="1" applyAlignment="1" applyProtection="1">
      <alignment horizontal="left" vertical="center" wrapText="1"/>
    </xf>
    <xf numFmtId="0" fontId="195" fillId="0" borderId="0" xfId="21" applyFont="1" applyFill="1" applyBorder="1" applyProtection="1"/>
    <xf numFmtId="0" fontId="195" fillId="0" borderId="0" xfId="21" applyFont="1" applyFill="1" applyBorder="1" applyAlignment="1" applyProtection="1"/>
    <xf numFmtId="0" fontId="195" fillId="0" borderId="19" xfId="21" applyFont="1" applyFill="1" applyBorder="1" applyAlignment="1" applyProtection="1"/>
    <xf numFmtId="0" fontId="1" fillId="27" borderId="20" xfId="21" applyFont="1" applyFill="1" applyBorder="1" applyAlignment="1" applyProtection="1"/>
    <xf numFmtId="0" fontId="1" fillId="27" borderId="19" xfId="21" applyFont="1" applyFill="1" applyBorder="1" applyAlignment="1" applyProtection="1"/>
    <xf numFmtId="0" fontId="1" fillId="0" borderId="63" xfId="21" applyFont="1" applyFill="1" applyBorder="1" applyAlignment="1" applyProtection="1">
      <alignment horizontal="center"/>
    </xf>
    <xf numFmtId="0" fontId="1" fillId="0" borderId="0" xfId="21" applyFont="1" applyFill="1" applyBorder="1" applyAlignment="1" applyProtection="1"/>
    <xf numFmtId="0" fontId="195" fillId="27" borderId="0" xfId="21" applyFont="1" applyFill="1" applyBorder="1" applyAlignment="1" applyProtection="1">
      <alignment vertical="center"/>
    </xf>
    <xf numFmtId="0" fontId="1" fillId="0" borderId="20" xfId="21" applyFont="1" applyFill="1" applyBorder="1" applyProtection="1"/>
    <xf numFmtId="0" fontId="1" fillId="27" borderId="0" xfId="21" applyFont="1" applyFill="1" applyBorder="1" applyProtection="1"/>
    <xf numFmtId="0" fontId="1" fillId="0" borderId="0" xfId="21" applyFont="1" applyFill="1" applyBorder="1" applyAlignment="1" applyProtection="1">
      <alignment horizontal="center"/>
    </xf>
    <xf numFmtId="0" fontId="1" fillId="0" borderId="64" xfId="21" applyFont="1" applyFill="1" applyBorder="1" applyAlignment="1" applyProtection="1">
      <protection locked="0"/>
    </xf>
    <xf numFmtId="0" fontId="1" fillId="0" borderId="16" xfId="21" applyFont="1" applyFill="1" applyBorder="1" applyAlignment="1" applyProtection="1"/>
    <xf numFmtId="0" fontId="44" fillId="0" borderId="0" xfId="21" applyFont="1" applyFill="1" applyBorder="1" applyAlignment="1" applyProtection="1"/>
    <xf numFmtId="0" fontId="1" fillId="0" borderId="395" xfId="21" applyFont="1" applyFill="1" applyBorder="1" applyAlignment="1" applyProtection="1"/>
    <xf numFmtId="0" fontId="156" fillId="27" borderId="0" xfId="0" applyFont="1" applyFill="1" applyBorder="1" applyAlignment="1" applyProtection="1">
      <alignment horizontal="left" vertical="center" wrapText="1"/>
      <protection locked="0"/>
    </xf>
    <xf numFmtId="0" fontId="195" fillId="0" borderId="0" xfId="21" applyFont="1" applyFill="1" applyBorder="1" applyAlignment="1" applyProtection="1">
      <alignment vertical="center"/>
    </xf>
    <xf numFmtId="0" fontId="1" fillId="0" borderId="20" xfId="71" applyFont="1" applyFill="1" applyBorder="1" applyProtection="1"/>
    <xf numFmtId="0" fontId="1" fillId="27" borderId="0" xfId="71" applyFont="1" applyFill="1" applyBorder="1" applyProtection="1"/>
    <xf numFmtId="0" fontId="1" fillId="27" borderId="19" xfId="71" applyFont="1" applyFill="1" applyBorder="1" applyProtection="1"/>
    <xf numFmtId="0" fontId="3" fillId="48" borderId="0" xfId="71" applyFont="1" applyFill="1" applyBorder="1" applyProtection="1">
      <protection locked="0"/>
    </xf>
    <xf numFmtId="0" fontId="4" fillId="0" borderId="0" xfId="71" applyFont="1" applyFill="1" applyProtection="1"/>
    <xf numFmtId="0" fontId="1" fillId="27" borderId="20" xfId="21" applyFont="1" applyFill="1" applyBorder="1" applyAlignment="1" applyProtection="1">
      <alignment vertical="center"/>
    </xf>
    <xf numFmtId="0" fontId="55" fillId="27" borderId="19" xfId="21" applyFont="1" applyFill="1" applyBorder="1" applyAlignment="1" applyProtection="1">
      <alignment horizontal="justify" vertical="center" wrapText="1"/>
    </xf>
    <xf numFmtId="0" fontId="55" fillId="27" borderId="0" xfId="21" applyFont="1" applyFill="1" applyBorder="1" applyAlignment="1" applyProtection="1">
      <alignment horizontal="justify" vertical="center" wrapText="1"/>
    </xf>
    <xf numFmtId="14" fontId="55" fillId="27" borderId="0" xfId="21" applyNumberFormat="1" applyFont="1" applyFill="1" applyBorder="1" applyAlignment="1" applyProtection="1">
      <alignment horizontal="justify" vertical="center" wrapText="1"/>
      <protection locked="0"/>
    </xf>
    <xf numFmtId="14" fontId="55" fillId="27" borderId="0" xfId="21" applyNumberFormat="1" applyFont="1" applyFill="1" applyBorder="1" applyAlignment="1" applyProtection="1">
      <alignment horizontal="justify" vertical="center" wrapText="1"/>
    </xf>
    <xf numFmtId="0" fontId="1" fillId="0" borderId="0" xfId="21" applyFont="1" applyFill="1" applyBorder="1" applyAlignment="1" applyProtection="1">
      <alignment vertical="center"/>
    </xf>
    <xf numFmtId="0" fontId="1" fillId="27" borderId="0" xfId="21" applyFont="1" applyFill="1" applyBorder="1" applyAlignment="1" applyProtection="1">
      <alignment vertical="center"/>
    </xf>
    <xf numFmtId="0" fontId="3" fillId="27" borderId="0" xfId="21" applyFont="1" applyFill="1" applyBorder="1" applyAlignment="1" applyProtection="1">
      <alignment vertical="center"/>
    </xf>
    <xf numFmtId="0" fontId="8" fillId="27" borderId="0" xfId="21" applyFont="1" applyFill="1" applyBorder="1" applyAlignment="1" applyProtection="1">
      <alignment horizontal="justify" vertical="center" wrapText="1"/>
    </xf>
    <xf numFmtId="0" fontId="55" fillId="0" borderId="0" xfId="21" applyFont="1" applyFill="1" applyBorder="1" applyAlignment="1" applyProtection="1">
      <alignment horizontal="justify" vertical="center" wrapText="1"/>
    </xf>
    <xf numFmtId="0" fontId="8" fillId="0" borderId="0" xfId="21" applyFont="1" applyFill="1" applyBorder="1" applyAlignment="1" applyProtection="1">
      <alignment horizontal="justify" vertical="center" wrapText="1"/>
    </xf>
    <xf numFmtId="0" fontId="1" fillId="0" borderId="19" xfId="21" applyFont="1" applyFill="1" applyBorder="1" applyAlignment="1" applyProtection="1">
      <alignment vertical="center"/>
    </xf>
    <xf numFmtId="0" fontId="195" fillId="27" borderId="347" xfId="21" applyFont="1" applyFill="1" applyBorder="1" applyAlignment="1" applyProtection="1">
      <alignment vertical="center"/>
    </xf>
    <xf numFmtId="0" fontId="1" fillId="0" borderId="347" xfId="21" applyFont="1" applyFill="1" applyBorder="1" applyAlignment="1" applyProtection="1">
      <alignment vertical="center"/>
    </xf>
    <xf numFmtId="0" fontId="1" fillId="0" borderId="15" xfId="21" applyFont="1" applyFill="1" applyBorder="1" applyAlignment="1" applyProtection="1">
      <alignment vertical="center"/>
    </xf>
    <xf numFmtId="0" fontId="55" fillId="0" borderId="0" xfId="21" applyFont="1" applyFill="1" applyBorder="1" applyAlignment="1" applyProtection="1">
      <alignment vertical="center" wrapText="1"/>
    </xf>
    <xf numFmtId="0" fontId="199" fillId="27" borderId="0" xfId="21" applyFont="1" applyFill="1" applyBorder="1" applyAlignment="1" applyProtection="1">
      <alignment horizontal="left" vertical="center"/>
    </xf>
    <xf numFmtId="0" fontId="199" fillId="27" borderId="0" xfId="21" applyFont="1" applyFill="1" applyBorder="1" applyAlignment="1" applyProtection="1">
      <alignment vertical="center"/>
    </xf>
    <xf numFmtId="168" fontId="1" fillId="27" borderId="0" xfId="21" applyNumberFormat="1" applyFont="1" applyFill="1" applyBorder="1" applyAlignment="1" applyProtection="1">
      <alignment vertical="center"/>
    </xf>
    <xf numFmtId="0" fontId="1" fillId="27" borderId="19" xfId="21" applyFont="1" applyFill="1" applyBorder="1" applyAlignment="1" applyProtection="1">
      <alignment vertical="center"/>
    </xf>
    <xf numFmtId="0" fontId="3" fillId="0" borderId="20" xfId="21" applyFont="1" applyFill="1" applyBorder="1" applyAlignment="1" applyProtection="1">
      <alignment vertical="center"/>
    </xf>
    <xf numFmtId="0" fontId="8" fillId="0" borderId="0" xfId="21" applyFont="1" applyFill="1" applyBorder="1" applyAlignment="1" applyProtection="1">
      <alignment vertical="center"/>
    </xf>
    <xf numFmtId="0" fontId="3" fillId="27" borderId="20" xfId="21" applyFont="1" applyFill="1" applyBorder="1" applyAlignment="1" applyProtection="1">
      <alignment horizontal="center"/>
    </xf>
    <xf numFmtId="0" fontId="3" fillId="27" borderId="19" xfId="21" applyFont="1" applyFill="1" applyBorder="1" applyAlignment="1" applyProtection="1">
      <alignment horizontal="center"/>
    </xf>
    <xf numFmtId="0" fontId="44" fillId="0" borderId="20" xfId="21" applyFont="1" applyFill="1" applyBorder="1" applyAlignment="1" applyProtection="1">
      <alignment vertical="center" wrapText="1"/>
    </xf>
    <xf numFmtId="0" fontId="44" fillId="0" borderId="19" xfId="21" applyFont="1" applyFill="1" applyBorder="1" applyAlignment="1" applyProtection="1">
      <alignment vertical="center" wrapText="1"/>
    </xf>
    <xf numFmtId="0" fontId="44" fillId="0" borderId="0" xfId="21" applyFont="1" applyFill="1" applyBorder="1" applyAlignment="1" applyProtection="1">
      <alignment vertical="center" wrapText="1"/>
    </xf>
    <xf numFmtId="0" fontId="1" fillId="0" borderId="16" xfId="21" quotePrefix="1" applyFont="1" applyFill="1" applyBorder="1" applyAlignment="1" applyProtection="1">
      <alignment vertical="center"/>
    </xf>
    <xf numFmtId="0" fontId="1" fillId="0" borderId="15" xfId="21" quotePrefix="1" applyFont="1" applyFill="1" applyBorder="1" applyAlignment="1" applyProtection="1">
      <alignment vertical="center"/>
    </xf>
    <xf numFmtId="0" fontId="44" fillId="0" borderId="16" xfId="21" applyFont="1" applyFill="1" applyBorder="1" applyAlignment="1" applyProtection="1">
      <alignment vertical="center" wrapText="1"/>
    </xf>
    <xf numFmtId="0" fontId="44" fillId="0" borderId="347" xfId="21" applyFont="1" applyFill="1" applyBorder="1" applyAlignment="1" applyProtection="1">
      <alignment vertical="center" wrapText="1"/>
    </xf>
    <xf numFmtId="0" fontId="44" fillId="0" borderId="15" xfId="21" applyFont="1" applyFill="1" applyBorder="1" applyAlignment="1" applyProtection="1">
      <alignment vertical="center" wrapText="1"/>
    </xf>
    <xf numFmtId="0" fontId="8" fillId="27" borderId="0" xfId="21" applyFont="1" applyFill="1" applyBorder="1" applyAlignment="1" applyProtection="1">
      <alignment horizontal="center" vertical="center"/>
    </xf>
    <xf numFmtId="0" fontId="200" fillId="0" borderId="20" xfId="21" applyFont="1" applyFill="1" applyBorder="1" applyAlignment="1" applyProtection="1">
      <alignment vertical="center"/>
    </xf>
    <xf numFmtId="0" fontId="200" fillId="0" borderId="0" xfId="21" applyFont="1" applyFill="1" applyBorder="1" applyAlignment="1" applyProtection="1">
      <alignment vertical="center"/>
    </xf>
    <xf numFmtId="0" fontId="200" fillId="0" borderId="19" xfId="21" applyFont="1" applyFill="1" applyBorder="1" applyAlignment="1" applyProtection="1">
      <alignment vertical="center"/>
    </xf>
    <xf numFmtId="0" fontId="200" fillId="0" borderId="0" xfId="71" applyFont="1" applyFill="1" applyBorder="1" applyAlignment="1" applyProtection="1">
      <alignment horizontal="center"/>
    </xf>
    <xf numFmtId="0" fontId="1" fillId="0" borderId="0" xfId="71" applyFont="1" applyFill="1" applyBorder="1" applyAlignment="1" applyProtection="1">
      <alignment horizontal="center" vertical="center"/>
    </xf>
    <xf numFmtId="0" fontId="200" fillId="0" borderId="0" xfId="71" applyFont="1" applyFill="1" applyBorder="1" applyAlignment="1" applyProtection="1">
      <alignment horizontal="center" vertical="center"/>
    </xf>
    <xf numFmtId="0" fontId="1" fillId="0" borderId="60" xfId="71" applyFont="1" applyFill="1" applyBorder="1" applyAlignment="1" applyProtection="1">
      <alignment horizontal="center" vertical="center"/>
    </xf>
    <xf numFmtId="0" fontId="1" fillId="0" borderId="20" xfId="71" applyFont="1" applyFill="1" applyBorder="1" applyAlignment="1" applyProtection="1">
      <alignment vertical="center"/>
    </xf>
    <xf numFmtId="0" fontId="1" fillId="0" borderId="0" xfId="71" applyFont="1" applyFill="1" applyBorder="1" applyAlignment="1" applyProtection="1">
      <alignment vertical="center"/>
    </xf>
    <xf numFmtId="0" fontId="2" fillId="0" borderId="0" xfId="71" applyFont="1" applyFill="1" applyBorder="1" applyAlignment="1" applyProtection="1">
      <alignment horizontal="center" wrapText="1"/>
    </xf>
    <xf numFmtId="0" fontId="1" fillId="0" borderId="19" xfId="21" applyFont="1" applyFill="1" applyBorder="1" applyProtection="1"/>
    <xf numFmtId="0" fontId="1" fillId="0" borderId="16" xfId="21" applyFont="1" applyFill="1" applyBorder="1" applyProtection="1"/>
    <xf numFmtId="0" fontId="1" fillId="0" borderId="347" xfId="21" applyFont="1" applyFill="1" applyBorder="1" applyProtection="1"/>
    <xf numFmtId="0" fontId="1" fillId="0" borderId="15" xfId="21" applyFont="1" applyFill="1" applyBorder="1" applyProtection="1"/>
    <xf numFmtId="0" fontId="5" fillId="27" borderId="16" xfId="0" applyFont="1" applyFill="1" applyBorder="1" applyAlignment="1" applyProtection="1">
      <alignment vertical="center"/>
    </xf>
    <xf numFmtId="0" fontId="5" fillId="27" borderId="347" xfId="0" applyFont="1" applyFill="1" applyBorder="1" applyAlignment="1" applyProtection="1">
      <alignment vertical="center"/>
    </xf>
    <xf numFmtId="0" fontId="2" fillId="27" borderId="347" xfId="544" applyFont="1" applyFill="1" applyBorder="1" applyAlignment="1" applyProtection="1">
      <alignment horizontal="left" vertical="center"/>
    </xf>
    <xf numFmtId="0" fontId="5" fillId="2" borderId="347" xfId="544" applyFont="1" applyFill="1" applyBorder="1" applyAlignment="1" applyProtection="1">
      <alignment horizontal="left" vertical="center"/>
      <protection locked="0"/>
    </xf>
    <xf numFmtId="0" fontId="5" fillId="27" borderId="397" xfId="0" applyFont="1" applyFill="1" applyBorder="1" applyAlignment="1" applyProtection="1">
      <alignment vertical="center"/>
    </xf>
    <xf numFmtId="0" fontId="5" fillId="27" borderId="395" xfId="0" applyFont="1" applyFill="1" applyBorder="1" applyAlignment="1" applyProtection="1">
      <alignment vertical="center"/>
    </xf>
    <xf numFmtId="0" fontId="2" fillId="27" borderId="395" xfId="544" applyFont="1" applyFill="1" applyBorder="1" applyAlignment="1" applyProtection="1">
      <alignment horizontal="left" vertical="center"/>
    </xf>
    <xf numFmtId="0" fontId="5" fillId="27" borderId="395" xfId="0" applyFont="1" applyFill="1" applyBorder="1" applyAlignment="1" applyProtection="1">
      <alignment horizontal="left" vertical="center"/>
    </xf>
    <xf numFmtId="0" fontId="5" fillId="27" borderId="20" xfId="0" applyFont="1" applyFill="1" applyBorder="1" applyAlignment="1" applyProtection="1">
      <alignment vertical="center"/>
    </xf>
    <xf numFmtId="0" fontId="5" fillId="27" borderId="0" xfId="0" applyFont="1" applyFill="1" applyBorder="1" applyAlignment="1" applyProtection="1">
      <alignment vertical="center"/>
    </xf>
    <xf numFmtId="0" fontId="2" fillId="27" borderId="0" xfId="0" applyFont="1" applyFill="1" applyBorder="1" applyAlignment="1" applyProtection="1">
      <alignment horizontal="left" vertical="center"/>
      <protection locked="0"/>
    </xf>
    <xf numFmtId="0" fontId="43" fillId="27" borderId="0" xfId="544" applyFont="1" applyFill="1" applyBorder="1" applyAlignment="1" applyProtection="1">
      <alignment horizontal="left" vertical="center"/>
    </xf>
    <xf numFmtId="0" fontId="2" fillId="27" borderId="0" xfId="544" applyFont="1" applyFill="1" applyBorder="1" applyAlignment="1" applyProtection="1">
      <alignment horizontal="left" vertical="center"/>
    </xf>
    <xf numFmtId="0" fontId="5" fillId="27" borderId="0" xfId="0" applyFont="1" applyFill="1" applyBorder="1" applyAlignment="1" applyProtection="1">
      <alignment horizontal="left" vertical="center"/>
    </xf>
    <xf numFmtId="0" fontId="4" fillId="27" borderId="14" xfId="544" applyFont="1" applyFill="1" applyBorder="1" applyAlignment="1" applyProtection="1">
      <alignment horizontal="center"/>
    </xf>
    <xf numFmtId="0" fontId="4" fillId="27" borderId="395" xfId="544" applyFont="1" applyFill="1" applyBorder="1" applyAlignment="1" applyProtection="1">
      <alignment horizontal="center"/>
    </xf>
    <xf numFmtId="0" fontId="4" fillId="27" borderId="396" xfId="544" applyFont="1" applyFill="1" applyBorder="1" applyAlignment="1" applyProtection="1">
      <alignment horizontal="center"/>
    </xf>
    <xf numFmtId="0" fontId="4" fillId="27" borderId="20" xfId="544" applyFont="1" applyFill="1" applyBorder="1" applyAlignment="1" applyProtection="1">
      <alignment horizontal="center"/>
    </xf>
    <xf numFmtId="0" fontId="4" fillId="27" borderId="0" xfId="544" applyFont="1" applyFill="1" applyBorder="1" applyAlignment="1" applyProtection="1">
      <alignment horizontal="center"/>
    </xf>
    <xf numFmtId="0" fontId="4" fillId="27" borderId="19" xfId="544" applyFont="1" applyFill="1" applyBorder="1" applyAlignment="1" applyProtection="1">
      <alignment horizontal="center"/>
    </xf>
    <xf numFmtId="0" fontId="4" fillId="27" borderId="16" xfId="544" applyFont="1" applyFill="1" applyBorder="1" applyAlignment="1" applyProtection="1">
      <alignment horizontal="center"/>
    </xf>
    <xf numFmtId="0" fontId="4" fillId="27" borderId="347" xfId="544" applyFont="1" applyFill="1" applyBorder="1" applyAlignment="1" applyProtection="1">
      <alignment horizontal="center"/>
    </xf>
    <xf numFmtId="0" fontId="4" fillId="27" borderId="15" xfId="544" applyFont="1" applyFill="1" applyBorder="1" applyAlignment="1" applyProtection="1">
      <alignment horizontal="center"/>
    </xf>
    <xf numFmtId="0" fontId="5" fillId="27" borderId="397" xfId="544" applyFont="1" applyFill="1" applyBorder="1" applyAlignment="1" applyProtection="1">
      <alignment horizontal="center" vertical="center"/>
    </xf>
    <xf numFmtId="0" fontId="5" fillId="27" borderId="395" xfId="544" applyFont="1" applyFill="1" applyBorder="1" applyAlignment="1" applyProtection="1">
      <alignment horizontal="center" vertical="center"/>
    </xf>
    <xf numFmtId="0" fontId="5" fillId="27" borderId="396" xfId="544" applyFont="1" applyFill="1" applyBorder="1" applyAlignment="1" applyProtection="1">
      <alignment horizontal="center" vertical="center"/>
    </xf>
    <xf numFmtId="0" fontId="5" fillId="27" borderId="20" xfId="544" applyFont="1" applyFill="1" applyBorder="1" applyAlignment="1" applyProtection="1">
      <alignment horizontal="center" vertical="center" wrapText="1"/>
    </xf>
    <xf numFmtId="0" fontId="5" fillId="27" borderId="0" xfId="544" applyFont="1" applyFill="1" applyBorder="1" applyAlignment="1" applyProtection="1">
      <alignment horizontal="center" vertical="center" wrapText="1"/>
    </xf>
    <xf numFmtId="0" fontId="5" fillId="27" borderId="19" xfId="544" applyFont="1" applyFill="1" applyBorder="1" applyAlignment="1" applyProtection="1">
      <alignment horizontal="center" vertical="center" wrapText="1"/>
    </xf>
    <xf numFmtId="0" fontId="140" fillId="27" borderId="12" xfId="544" applyFont="1" applyFill="1" applyBorder="1" applyAlignment="1" applyProtection="1">
      <alignment horizontal="left" vertical="center"/>
    </xf>
    <xf numFmtId="0" fontId="140" fillId="27" borderId="11" xfId="544" applyFont="1" applyFill="1" applyBorder="1" applyAlignment="1" applyProtection="1">
      <alignment horizontal="left" vertical="center"/>
    </xf>
    <xf numFmtId="0" fontId="140" fillId="27" borderId="10" xfId="544" applyFont="1" applyFill="1" applyBorder="1" applyAlignment="1" applyProtection="1">
      <alignment horizontal="left" vertical="center"/>
    </xf>
    <xf numFmtId="0" fontId="5" fillId="25" borderId="12" xfId="544" applyFont="1" applyFill="1" applyBorder="1" applyAlignment="1" applyProtection="1">
      <alignment horizontal="center" vertical="center" wrapText="1"/>
    </xf>
    <xf numFmtId="0" fontId="5" fillId="25" borderId="11" xfId="544" applyFont="1" applyFill="1" applyBorder="1" applyAlignment="1" applyProtection="1">
      <alignment horizontal="center" vertical="center" wrapText="1"/>
    </xf>
    <xf numFmtId="0" fontId="5" fillId="25" borderId="10" xfId="544" applyFont="1" applyFill="1" applyBorder="1" applyAlignment="1" applyProtection="1">
      <alignment horizontal="center" vertical="center" wrapText="1"/>
    </xf>
    <xf numFmtId="0" fontId="132" fillId="0" borderId="398" xfId="544" applyFont="1" applyBorder="1" applyAlignment="1" applyProtection="1">
      <alignment horizontal="left" vertical="center"/>
    </xf>
    <xf numFmtId="0" fontId="132" fillId="0" borderId="393" xfId="544" applyFont="1" applyBorder="1" applyAlignment="1" applyProtection="1">
      <alignment horizontal="left" vertical="center"/>
    </xf>
    <xf numFmtId="0" fontId="132" fillId="0" borderId="394" xfId="544" applyFont="1" applyBorder="1" applyAlignment="1" applyProtection="1">
      <alignment horizontal="left" vertical="center"/>
    </xf>
    <xf numFmtId="1" fontId="5" fillId="0" borderId="265" xfId="544" applyNumberFormat="1" applyFont="1" applyBorder="1" applyAlignment="1" applyProtection="1">
      <alignment horizontal="center" vertical="center"/>
    </xf>
    <xf numFmtId="1" fontId="5" fillId="0" borderId="263" xfId="544" applyNumberFormat="1" applyFont="1" applyBorder="1" applyAlignment="1" applyProtection="1">
      <alignment horizontal="center" vertical="center"/>
    </xf>
    <xf numFmtId="1" fontId="5" fillId="0" borderId="266" xfId="544" applyNumberFormat="1" applyFont="1" applyBorder="1" applyAlignment="1" applyProtection="1">
      <alignment horizontal="center" vertical="center"/>
    </xf>
    <xf numFmtId="1" fontId="5" fillId="0" borderId="141" xfId="544" applyNumberFormat="1" applyFont="1" applyBorder="1" applyAlignment="1" applyProtection="1">
      <alignment horizontal="center" vertical="center"/>
    </xf>
    <xf numFmtId="1" fontId="5" fillId="0" borderId="142" xfId="544" applyNumberFormat="1" applyFont="1" applyBorder="1" applyAlignment="1" applyProtection="1">
      <alignment horizontal="center" vertical="center"/>
    </xf>
    <xf numFmtId="1" fontId="5" fillId="0" borderId="269" xfId="544" applyNumberFormat="1" applyFont="1" applyBorder="1" applyAlignment="1" applyProtection="1">
      <alignment horizontal="center" vertical="center"/>
    </xf>
    <xf numFmtId="0" fontId="5" fillId="29" borderId="12" xfId="544" applyFont="1" applyFill="1" applyBorder="1" applyAlignment="1" applyProtection="1">
      <alignment horizontal="center" vertical="center" wrapText="1"/>
    </xf>
    <xf numFmtId="0" fontId="5" fillId="29" borderId="11" xfId="544" applyFont="1" applyFill="1" applyBorder="1" applyAlignment="1" applyProtection="1">
      <alignment horizontal="center" vertical="center" wrapText="1"/>
    </xf>
    <xf numFmtId="0" fontId="43" fillId="29" borderId="12" xfId="544" applyFont="1" applyFill="1" applyBorder="1" applyAlignment="1" applyProtection="1">
      <alignment horizontal="center" vertical="center" wrapText="1"/>
    </xf>
    <xf numFmtId="0" fontId="43" fillId="29" borderId="10" xfId="544" applyFont="1" applyFill="1" applyBorder="1" applyAlignment="1" applyProtection="1">
      <alignment horizontal="center" vertical="center" wrapText="1"/>
    </xf>
    <xf numFmtId="0" fontId="5" fillId="29" borderId="10" xfId="544" applyFont="1" applyFill="1" applyBorder="1" applyAlignment="1" applyProtection="1">
      <alignment horizontal="center" vertical="center" wrapText="1"/>
    </xf>
    <xf numFmtId="0" fontId="4" fillId="0" borderId="265" xfId="544" applyFont="1" applyBorder="1" applyAlignment="1" applyProtection="1">
      <alignment horizontal="left" vertical="center"/>
    </xf>
    <xf numFmtId="0" fontId="4" fillId="0" borderId="263" xfId="544" applyFont="1" applyBorder="1" applyAlignment="1" applyProtection="1">
      <alignment horizontal="left" vertical="center"/>
    </xf>
    <xf numFmtId="0" fontId="4" fillId="0" borderId="263" xfId="544" applyFont="1" applyBorder="1" applyAlignment="1" applyProtection="1">
      <alignment horizontal="center" vertical="center"/>
    </xf>
    <xf numFmtId="0" fontId="4" fillId="0" borderId="266" xfId="544" applyFont="1" applyBorder="1" applyAlignment="1" applyProtection="1">
      <alignment horizontal="center" vertical="center"/>
    </xf>
    <xf numFmtId="0" fontId="133" fillId="27" borderId="263" xfId="544" applyFont="1" applyFill="1" applyBorder="1" applyAlignment="1" applyProtection="1">
      <alignment horizontal="center" vertical="center"/>
    </xf>
    <xf numFmtId="0" fontId="133" fillId="27" borderId="267" xfId="544" applyFont="1" applyFill="1" applyBorder="1" applyAlignment="1" applyProtection="1">
      <alignment horizontal="center" vertical="center"/>
    </xf>
    <xf numFmtId="167" fontId="171" fillId="27" borderId="12" xfId="544" applyNumberFormat="1" applyFont="1" applyFill="1" applyBorder="1" applyAlignment="1" applyProtection="1">
      <alignment horizontal="center" vertical="center" wrapText="1"/>
    </xf>
    <xf numFmtId="167" fontId="171" fillId="27" borderId="11" xfId="544" applyNumberFormat="1" applyFont="1" applyFill="1" applyBorder="1" applyAlignment="1" applyProtection="1">
      <alignment horizontal="center" vertical="center" wrapText="1"/>
    </xf>
    <xf numFmtId="167" fontId="171" fillId="27" borderId="378" xfId="544" applyNumberFormat="1" applyFont="1" applyFill="1" applyBorder="1" applyAlignment="1" applyProtection="1">
      <alignment horizontal="center" vertical="center" wrapText="1"/>
    </xf>
    <xf numFmtId="0" fontId="4" fillId="2" borderId="16" xfId="544" applyFont="1" applyFill="1" applyBorder="1" applyAlignment="1" applyProtection="1">
      <alignment horizontal="left" vertical="center"/>
      <protection locked="0"/>
    </xf>
    <xf numFmtId="0" fontId="4" fillId="2" borderId="347" xfId="544" applyFont="1" applyFill="1" applyBorder="1" applyAlignment="1" applyProtection="1">
      <alignment horizontal="left" vertical="center"/>
      <protection locked="0"/>
    </xf>
    <xf numFmtId="0" fontId="133" fillId="27" borderId="292" xfId="544" applyFont="1" applyFill="1" applyBorder="1" applyAlignment="1" applyProtection="1">
      <alignment horizontal="center" vertical="center"/>
    </xf>
    <xf numFmtId="0" fontId="133" fillId="27" borderId="396" xfId="544" applyFont="1" applyFill="1" applyBorder="1" applyAlignment="1" applyProtection="1">
      <alignment horizontal="center" vertical="center"/>
    </xf>
    <xf numFmtId="0" fontId="133" fillId="27" borderId="285" xfId="544" applyFont="1" applyFill="1" applyBorder="1" applyAlignment="1" applyProtection="1">
      <alignment horizontal="center" vertical="center"/>
    </xf>
    <xf numFmtId="0" fontId="133" fillId="27" borderId="15" xfId="544" applyFont="1" applyFill="1" applyBorder="1" applyAlignment="1" applyProtection="1">
      <alignment horizontal="center" vertical="center"/>
    </xf>
    <xf numFmtId="0" fontId="4" fillId="0" borderId="362" xfId="544" applyFont="1" applyBorder="1" applyAlignment="1" applyProtection="1">
      <alignment horizontal="left" vertical="center"/>
    </xf>
    <xf numFmtId="0" fontId="4" fillId="0" borderId="280" xfId="544" applyFont="1" applyBorder="1" applyAlignment="1" applyProtection="1">
      <alignment horizontal="left" vertical="center"/>
    </xf>
    <xf numFmtId="0" fontId="4" fillId="0" borderId="281" xfId="544" applyFont="1" applyBorder="1" applyAlignment="1" applyProtection="1">
      <alignment horizontal="left" vertical="center"/>
    </xf>
    <xf numFmtId="0" fontId="4" fillId="0" borderId="16" xfId="544" applyFont="1" applyBorder="1" applyAlignment="1" applyProtection="1">
      <alignment horizontal="left" vertical="center"/>
    </xf>
    <xf numFmtId="0" fontId="4" fillId="0" borderId="347" xfId="544" applyFont="1" applyBorder="1" applyAlignment="1" applyProtection="1">
      <alignment horizontal="left" vertical="center"/>
    </xf>
    <xf numFmtId="0" fontId="4" fillId="0" borderId="260" xfId="544" applyFont="1" applyBorder="1" applyAlignment="1" applyProtection="1">
      <alignment horizontal="left" vertical="center"/>
    </xf>
    <xf numFmtId="49" fontId="4" fillId="0" borderId="270" xfId="544" applyNumberFormat="1" applyFont="1" applyBorder="1" applyAlignment="1" applyProtection="1">
      <alignment horizontal="left" vertical="center"/>
    </xf>
    <xf numFmtId="49" fontId="4" fillId="0" borderId="142" xfId="544" applyNumberFormat="1" applyFont="1" applyBorder="1" applyAlignment="1" applyProtection="1">
      <alignment horizontal="center" vertical="center"/>
    </xf>
    <xf numFmtId="49" fontId="4" fillId="0" borderId="269" xfId="544" applyNumberFormat="1" applyFont="1" applyBorder="1" applyAlignment="1" applyProtection="1">
      <alignment horizontal="center" vertical="center"/>
    </xf>
    <xf numFmtId="0" fontId="133" fillId="0" borderId="283" xfId="544" applyFont="1" applyBorder="1" applyAlignment="1" applyProtection="1">
      <alignment horizontal="center" vertical="center"/>
    </xf>
    <xf numFmtId="0" fontId="133" fillId="0" borderId="284" xfId="544" applyFont="1" applyBorder="1" applyAlignment="1" applyProtection="1">
      <alignment horizontal="center" vertical="center"/>
    </xf>
    <xf numFmtId="0" fontId="133" fillId="0" borderId="285" xfId="544" applyFont="1" applyBorder="1" applyAlignment="1" applyProtection="1">
      <alignment horizontal="center" vertical="center"/>
    </xf>
    <xf numFmtId="0" fontId="133" fillId="0" borderId="15" xfId="544" applyFont="1" applyBorder="1" applyAlignment="1" applyProtection="1">
      <alignment horizontal="center" vertical="center"/>
    </xf>
    <xf numFmtId="167" fontId="5" fillId="0" borderId="271" xfId="544" applyNumberFormat="1" applyFont="1" applyBorder="1" applyAlignment="1" applyProtection="1">
      <alignment horizontal="center" vertical="center"/>
    </xf>
    <xf numFmtId="167" fontId="5" fillId="0" borderId="270" xfId="544" applyNumberFormat="1" applyFont="1" applyBorder="1" applyAlignment="1" applyProtection="1">
      <alignment horizontal="center" vertical="center"/>
    </xf>
    <xf numFmtId="167" fontId="5" fillId="0" borderId="272" xfId="544" applyNumberFormat="1" applyFont="1" applyBorder="1" applyAlignment="1" applyProtection="1">
      <alignment horizontal="center" vertical="center"/>
    </xf>
    <xf numFmtId="0" fontId="4" fillId="0" borderId="282" xfId="544" applyFont="1" applyBorder="1" applyAlignment="1" applyProtection="1">
      <alignment horizontal="left" vertical="center"/>
    </xf>
    <xf numFmtId="0" fontId="4" fillId="0" borderId="276" xfId="544" applyFont="1" applyBorder="1" applyAlignment="1" applyProtection="1">
      <alignment horizontal="left" vertical="center"/>
    </xf>
    <xf numFmtId="0" fontId="4" fillId="0" borderId="140" xfId="544" applyFont="1" applyBorder="1" applyAlignment="1" applyProtection="1">
      <alignment horizontal="center" vertical="center"/>
    </xf>
    <xf numFmtId="0" fontId="4" fillId="0" borderId="268" xfId="544" applyFont="1" applyBorder="1" applyAlignment="1" applyProtection="1">
      <alignment horizontal="center" vertical="center"/>
    </xf>
    <xf numFmtId="167" fontId="5" fillId="0" borderId="275" xfId="544" applyNumberFormat="1" applyFont="1" applyBorder="1" applyAlignment="1" applyProtection="1">
      <alignment horizontal="center" vertical="center"/>
    </xf>
    <xf numFmtId="167" fontId="5" fillId="0" borderId="276" xfId="544" applyNumberFormat="1" applyFont="1" applyBorder="1" applyAlignment="1" applyProtection="1">
      <alignment horizontal="center" vertical="center"/>
    </xf>
    <xf numFmtId="167" fontId="5" fillId="0" borderId="277" xfId="544" applyNumberFormat="1" applyFont="1" applyBorder="1" applyAlignment="1" applyProtection="1">
      <alignment horizontal="center" vertical="center"/>
    </xf>
    <xf numFmtId="0" fontId="133" fillId="0" borderId="263" xfId="544" applyFont="1" applyBorder="1" applyAlignment="1" applyProtection="1">
      <alignment horizontal="center" vertical="center"/>
    </xf>
    <xf numFmtId="0" fontId="133" fillId="0" borderId="267" xfId="544" applyFont="1" applyBorder="1" applyAlignment="1" applyProtection="1">
      <alignment horizontal="center" vertical="center"/>
    </xf>
    <xf numFmtId="0" fontId="4" fillId="0" borderId="271" xfId="544" applyFont="1" applyBorder="1" applyAlignment="1" applyProtection="1">
      <alignment horizontal="left" vertical="center"/>
    </xf>
    <xf numFmtId="0" fontId="4" fillId="0" borderId="270" xfId="544" applyFont="1" applyBorder="1" applyAlignment="1" applyProtection="1">
      <alignment horizontal="left" vertical="center"/>
    </xf>
    <xf numFmtId="49" fontId="4" fillId="0" borderId="270" xfId="544" applyNumberFormat="1" applyFont="1" applyBorder="1" applyAlignment="1" applyProtection="1">
      <alignment horizontal="center" vertical="center"/>
    </xf>
    <xf numFmtId="49" fontId="4" fillId="0" borderId="272" xfId="544" applyNumberFormat="1" applyFont="1" applyBorder="1" applyAlignment="1" applyProtection="1">
      <alignment horizontal="center" vertical="center"/>
    </xf>
    <xf numFmtId="0" fontId="133" fillId="0" borderId="270" xfId="544" applyFont="1" applyBorder="1" applyAlignment="1" applyProtection="1">
      <alignment horizontal="center" vertical="center"/>
    </xf>
    <xf numFmtId="0" fontId="133" fillId="0" borderId="273" xfId="544" applyFont="1" applyBorder="1" applyAlignment="1" applyProtection="1">
      <alignment horizontal="center" vertical="center"/>
    </xf>
    <xf numFmtId="0" fontId="4" fillId="0" borderId="270" xfId="544" applyFont="1" applyBorder="1" applyAlignment="1" applyProtection="1">
      <alignment horizontal="center" vertical="center"/>
    </xf>
    <xf numFmtId="0" fontId="4" fillId="0" borderId="272" xfId="544" applyFont="1" applyBorder="1" applyAlignment="1" applyProtection="1">
      <alignment horizontal="center" vertical="center"/>
    </xf>
    <xf numFmtId="0" fontId="133" fillId="27" borderId="270" xfId="544" applyFont="1" applyFill="1" applyBorder="1" applyAlignment="1" applyProtection="1">
      <alignment horizontal="center" vertical="center"/>
    </xf>
    <xf numFmtId="0" fontId="133" fillId="27" borderId="273" xfId="544" applyFont="1" applyFill="1" applyBorder="1" applyAlignment="1" applyProtection="1">
      <alignment horizontal="center" vertical="center"/>
    </xf>
    <xf numFmtId="0" fontId="4" fillId="0" borderId="12" xfId="544" applyFont="1" applyBorder="1" applyAlignment="1" applyProtection="1">
      <alignment horizontal="left" vertical="center"/>
    </xf>
    <xf numFmtId="0" fontId="4" fillId="0" borderId="11" xfId="544" applyFont="1" applyBorder="1" applyAlignment="1" applyProtection="1">
      <alignment horizontal="left" vertical="center"/>
    </xf>
    <xf numFmtId="0" fontId="4" fillId="0" borderId="11" xfId="544" applyFont="1" applyBorder="1" applyAlignment="1" applyProtection="1">
      <alignment horizontal="center" vertical="center"/>
    </xf>
    <xf numFmtId="0" fontId="133" fillId="27" borderId="258" xfId="544" applyFont="1" applyFill="1" applyBorder="1" applyAlignment="1" applyProtection="1">
      <alignment horizontal="center" vertical="center"/>
    </xf>
    <xf numFmtId="0" fontId="133" fillId="27" borderId="10" xfId="544" applyFont="1" applyFill="1" applyBorder="1" applyAlignment="1" applyProtection="1">
      <alignment horizontal="center" vertical="center"/>
    </xf>
    <xf numFmtId="1" fontId="5" fillId="0" borderId="12" xfId="544" applyNumberFormat="1" applyFont="1" applyBorder="1" applyAlignment="1" applyProtection="1">
      <alignment horizontal="center" vertical="center"/>
    </xf>
    <xf numFmtId="1" fontId="5" fillId="0" borderId="11" xfId="544" applyNumberFormat="1" applyFont="1" applyBorder="1" applyAlignment="1" applyProtection="1">
      <alignment horizontal="center" vertical="center"/>
    </xf>
    <xf numFmtId="0" fontId="4" fillId="0" borderId="279" xfId="544" applyFont="1" applyBorder="1" applyAlignment="1" applyProtection="1">
      <alignment horizontal="left" vertical="center"/>
    </xf>
    <xf numFmtId="0" fontId="4" fillId="0" borderId="358" xfId="544" applyFont="1" applyBorder="1" applyAlignment="1" applyProtection="1">
      <alignment horizontal="center" vertical="center"/>
    </xf>
    <xf numFmtId="0" fontId="4" fillId="0" borderId="359" xfId="544" applyFont="1" applyBorder="1" applyAlignment="1" applyProtection="1">
      <alignment horizontal="center" vertical="center"/>
    </xf>
    <xf numFmtId="0" fontId="133" fillId="27" borderId="360" xfId="544" applyFont="1" applyFill="1" applyBorder="1" applyAlignment="1" applyProtection="1">
      <alignment horizontal="center" vertical="center"/>
    </xf>
    <xf numFmtId="0" fontId="133" fillId="27" borderId="361" xfId="544" applyFont="1" applyFill="1" applyBorder="1" applyAlignment="1" applyProtection="1">
      <alignment horizontal="center" vertical="center"/>
    </xf>
    <xf numFmtId="167" fontId="5" fillId="0" borderId="362" xfId="544" applyNumberFormat="1" applyFont="1" applyBorder="1" applyAlignment="1" applyProtection="1">
      <alignment horizontal="center" vertical="center"/>
    </xf>
    <xf numFmtId="167" fontId="5" fillId="0" borderId="280" xfId="544" applyNumberFormat="1" applyFont="1" applyBorder="1" applyAlignment="1" applyProtection="1">
      <alignment horizontal="center" vertical="center"/>
    </xf>
    <xf numFmtId="167" fontId="5" fillId="0" borderId="281" xfId="544" applyNumberFormat="1" applyFont="1" applyBorder="1" applyAlignment="1" applyProtection="1">
      <alignment horizontal="center" vertical="center"/>
    </xf>
    <xf numFmtId="0" fontId="4" fillId="0" borderId="363" xfId="544" applyFont="1" applyBorder="1" applyAlignment="1" applyProtection="1">
      <alignment horizontal="left" vertical="center"/>
    </xf>
    <xf numFmtId="0" fontId="4" fillId="0" borderId="364" xfId="544" applyFont="1" applyBorder="1" applyAlignment="1" applyProtection="1">
      <alignment horizontal="left" vertical="center"/>
    </xf>
    <xf numFmtId="0" fontId="133" fillId="27" borderId="365" xfId="544" applyFont="1" applyFill="1" applyBorder="1" applyAlignment="1" applyProtection="1">
      <alignment horizontal="center" vertical="center"/>
    </xf>
    <xf numFmtId="0" fontId="133" fillId="27" borderId="366" xfId="544" applyFont="1" applyFill="1" applyBorder="1" applyAlignment="1" applyProtection="1">
      <alignment horizontal="center" vertical="center"/>
    </xf>
    <xf numFmtId="1" fontId="5" fillId="0" borderId="367" xfId="544" applyNumberFormat="1" applyFont="1" applyBorder="1" applyAlignment="1" applyProtection="1">
      <alignment horizontal="center" vertical="center"/>
    </xf>
    <xf numFmtId="1" fontId="5" fillId="0" borderId="364" xfId="544" applyNumberFormat="1" applyFont="1" applyBorder="1" applyAlignment="1" applyProtection="1">
      <alignment horizontal="center" vertical="center"/>
    </xf>
    <xf numFmtId="1" fontId="5" fillId="0" borderId="368" xfId="544" applyNumberFormat="1" applyFont="1" applyBorder="1" applyAlignment="1" applyProtection="1">
      <alignment horizontal="center" vertical="center"/>
    </xf>
    <xf numFmtId="0" fontId="4" fillId="0" borderId="289" xfId="544" applyFont="1" applyBorder="1" applyAlignment="1" applyProtection="1">
      <alignment horizontal="left" vertical="center"/>
    </xf>
    <xf numFmtId="0" fontId="4" fillId="0" borderId="288" xfId="544" applyFont="1" applyBorder="1" applyAlignment="1" applyProtection="1">
      <alignment horizontal="left" vertical="center"/>
    </xf>
    <xf numFmtId="0" fontId="4" fillId="0" borderId="288" xfId="544" applyFont="1" applyBorder="1" applyAlignment="1" applyProtection="1">
      <alignment horizontal="center" vertical="center"/>
    </xf>
    <xf numFmtId="0" fontId="4" fillId="0" borderId="286" xfId="544" applyFont="1" applyBorder="1" applyAlignment="1" applyProtection="1">
      <alignment horizontal="center" vertical="center"/>
    </xf>
    <xf numFmtId="0" fontId="133" fillId="27" borderId="288" xfId="544" applyFont="1" applyFill="1" applyBorder="1" applyAlignment="1" applyProtection="1">
      <alignment horizontal="center" vertical="center"/>
    </xf>
    <xf numFmtId="0" fontId="133" fillId="27" borderId="290" xfId="544" applyFont="1" applyFill="1" applyBorder="1" applyAlignment="1" applyProtection="1">
      <alignment horizontal="center" vertical="center"/>
    </xf>
    <xf numFmtId="1" fontId="5" fillId="0" borderId="287" xfId="544" applyNumberFormat="1" applyFont="1" applyBorder="1" applyAlignment="1" applyProtection="1">
      <alignment horizontal="center" vertical="center"/>
    </xf>
    <xf numFmtId="1" fontId="5" fillId="0" borderId="288" xfId="544" applyNumberFormat="1" applyFont="1" applyBorder="1" applyAlignment="1" applyProtection="1">
      <alignment horizontal="center" vertical="center"/>
    </xf>
    <xf numFmtId="1" fontId="5" fillId="0" borderId="286" xfId="544" applyNumberFormat="1" applyFont="1" applyBorder="1" applyAlignment="1" applyProtection="1">
      <alignment horizontal="center" vertical="center"/>
    </xf>
    <xf numFmtId="0" fontId="4" fillId="0" borderId="37" xfId="544" applyFont="1" applyBorder="1" applyAlignment="1" applyProtection="1">
      <alignment horizontal="left" vertical="center"/>
    </xf>
    <xf numFmtId="0" fontId="4" fillId="0" borderId="0" xfId="544" applyFont="1" applyBorder="1" applyAlignment="1" applyProtection="1">
      <alignment horizontal="left" vertical="center"/>
    </xf>
    <xf numFmtId="0" fontId="4" fillId="0" borderId="142" xfId="544" applyFont="1" applyBorder="1" applyAlignment="1" applyProtection="1">
      <alignment horizontal="center" vertical="center"/>
    </xf>
    <xf numFmtId="0" fontId="4" fillId="0" borderId="269" xfId="544" applyFont="1" applyBorder="1" applyAlignment="1" applyProtection="1">
      <alignment horizontal="center" vertical="center"/>
    </xf>
    <xf numFmtId="0" fontId="133" fillId="27" borderId="0" xfId="544" applyFont="1" applyFill="1" applyBorder="1" applyAlignment="1" applyProtection="1">
      <alignment horizontal="center" vertical="center"/>
    </xf>
    <xf numFmtId="0" fontId="133" fillId="27" borderId="19" xfId="544" applyFont="1" applyFill="1" applyBorder="1" applyAlignment="1" applyProtection="1">
      <alignment horizontal="center" vertical="center"/>
    </xf>
    <xf numFmtId="0" fontId="5" fillId="41" borderId="20" xfId="544" applyFont="1" applyFill="1" applyBorder="1" applyAlignment="1" applyProtection="1">
      <alignment horizontal="center" vertical="center"/>
    </xf>
    <xf numFmtId="0" fontId="5" fillId="41" borderId="0" xfId="544" applyFont="1" applyFill="1" applyBorder="1" applyAlignment="1" applyProtection="1">
      <alignment horizontal="center" vertical="center"/>
    </xf>
    <xf numFmtId="0" fontId="5" fillId="41" borderId="274" xfId="544" applyFont="1" applyFill="1" applyBorder="1" applyAlignment="1" applyProtection="1">
      <alignment horizontal="center" vertical="center"/>
    </xf>
    <xf numFmtId="0" fontId="4" fillId="0" borderId="147" xfId="544" applyFont="1" applyBorder="1" applyAlignment="1" applyProtection="1">
      <alignment horizontal="left" vertical="center"/>
    </xf>
    <xf numFmtId="0" fontId="4" fillId="0" borderId="139" xfId="544" applyFont="1" applyBorder="1" applyAlignment="1" applyProtection="1">
      <alignment horizontal="left" vertical="center"/>
    </xf>
    <xf numFmtId="0" fontId="4" fillId="0" borderId="139" xfId="544" applyFont="1" applyBorder="1" applyAlignment="1" applyProtection="1">
      <alignment horizontal="center" vertical="center"/>
    </xf>
    <xf numFmtId="0" fontId="4" fillId="0" borderId="259" xfId="544" applyFont="1" applyBorder="1" applyAlignment="1" applyProtection="1">
      <alignment horizontal="center" vertical="center"/>
    </xf>
    <xf numFmtId="0" fontId="4" fillId="0" borderId="109" xfId="544" applyFont="1" applyBorder="1" applyAlignment="1" applyProtection="1">
      <alignment horizontal="left" vertical="center" wrapText="1"/>
    </xf>
    <xf numFmtId="0" fontId="4" fillId="0" borderId="13" xfId="544" applyFont="1" applyBorder="1" applyAlignment="1" applyProtection="1">
      <alignment horizontal="left" vertical="center" wrapText="1"/>
    </xf>
    <xf numFmtId="0" fontId="4" fillId="0" borderId="261" xfId="544" applyFont="1" applyBorder="1" applyAlignment="1" applyProtection="1">
      <alignment horizontal="left" vertical="center" wrapText="1"/>
    </xf>
    <xf numFmtId="0" fontId="4" fillId="0" borderId="289" xfId="544" applyFont="1" applyBorder="1" applyAlignment="1" applyProtection="1">
      <alignment horizontal="left" vertical="center" wrapText="1"/>
    </xf>
    <xf numFmtId="0" fontId="4" fillId="0" borderId="288" xfId="544" applyFont="1" applyBorder="1" applyAlignment="1" applyProtection="1">
      <alignment horizontal="left" vertical="center" wrapText="1"/>
    </xf>
    <xf numFmtId="0" fontId="4" fillId="0" borderId="286" xfId="544" applyFont="1" applyBorder="1" applyAlignment="1" applyProtection="1">
      <alignment horizontal="left" vertical="center" wrapText="1"/>
    </xf>
    <xf numFmtId="49" fontId="4" fillId="0" borderId="13" xfId="544" applyNumberFormat="1" applyFont="1" applyBorder="1" applyAlignment="1" applyProtection="1">
      <alignment horizontal="left" vertical="center"/>
    </xf>
    <xf numFmtId="49" fontId="4" fillId="0" borderId="263" xfId="544" applyNumberFormat="1" applyFont="1" applyBorder="1" applyAlignment="1" applyProtection="1">
      <alignment horizontal="center" vertical="center"/>
    </xf>
    <xf numFmtId="49" fontId="4" fillId="0" borderId="266" xfId="544" applyNumberFormat="1" applyFont="1" applyBorder="1" applyAlignment="1" applyProtection="1">
      <alignment horizontal="center" vertical="center"/>
    </xf>
    <xf numFmtId="0" fontId="133" fillId="0" borderId="292" xfId="544" applyFont="1" applyBorder="1" applyAlignment="1" applyProtection="1">
      <alignment horizontal="center" vertical="center"/>
    </xf>
    <xf numFmtId="0" fontId="133" fillId="0" borderId="18" xfId="544" applyFont="1" applyBorder="1" applyAlignment="1" applyProtection="1">
      <alignment horizontal="center" vertical="center"/>
    </xf>
    <xf numFmtId="0" fontId="133" fillId="0" borderId="293" xfId="544" applyFont="1" applyBorder="1" applyAlignment="1" applyProtection="1">
      <alignment horizontal="center" vertical="center"/>
    </xf>
    <xf numFmtId="0" fontId="133" fillId="0" borderId="290" xfId="544" applyFont="1" applyBorder="1" applyAlignment="1" applyProtection="1">
      <alignment horizontal="center" vertical="center"/>
    </xf>
    <xf numFmtId="0" fontId="4" fillId="0" borderId="294" xfId="544" applyFont="1" applyBorder="1" applyAlignment="1" applyProtection="1">
      <alignment horizontal="left" vertical="center"/>
    </xf>
    <xf numFmtId="1" fontId="5" fillId="0" borderId="271" xfId="544" applyNumberFormat="1" applyFont="1" applyBorder="1" applyAlignment="1" applyProtection="1">
      <alignment horizontal="center" vertical="center"/>
    </xf>
    <xf numFmtId="1" fontId="5" fillId="0" borderId="270" xfId="544" applyNumberFormat="1" applyFont="1" applyBorder="1" applyAlignment="1" applyProtection="1">
      <alignment horizontal="center" vertical="center"/>
    </xf>
    <xf numFmtId="1" fontId="5" fillId="0" borderId="272" xfId="544" applyNumberFormat="1" applyFont="1" applyBorder="1" applyAlignment="1" applyProtection="1">
      <alignment horizontal="center" vertical="center"/>
    </xf>
    <xf numFmtId="0" fontId="4" fillId="0" borderId="369" xfId="544" applyFont="1" applyBorder="1" applyAlignment="1" applyProtection="1">
      <alignment horizontal="left" vertical="center"/>
    </xf>
    <xf numFmtId="0" fontId="4" fillId="0" borderId="358" xfId="544" applyFont="1" applyBorder="1" applyAlignment="1" applyProtection="1">
      <alignment horizontal="left" vertical="center"/>
    </xf>
    <xf numFmtId="0" fontId="133" fillId="0" borderId="0" xfId="544" applyFont="1" applyBorder="1" applyAlignment="1" applyProtection="1">
      <alignment horizontal="center" vertical="center"/>
    </xf>
    <xf numFmtId="0" fontId="133" fillId="0" borderId="19" xfId="544" applyFont="1" applyBorder="1" applyAlignment="1" applyProtection="1">
      <alignment horizontal="center" vertical="center"/>
    </xf>
    <xf numFmtId="0" fontId="5" fillId="25" borderId="102" xfId="544" applyFont="1" applyFill="1" applyBorder="1" applyAlignment="1" applyProtection="1">
      <alignment horizontal="center" vertical="center" wrapText="1"/>
    </xf>
    <xf numFmtId="0" fontId="4" fillId="0" borderId="109" xfId="544" applyFont="1" applyBorder="1" applyAlignment="1" applyProtection="1">
      <alignment horizontal="left" vertical="center"/>
    </xf>
    <xf numFmtId="0" fontId="4" fillId="0" borderId="13" xfId="544" applyFont="1" applyBorder="1" applyAlignment="1" applyProtection="1">
      <alignment horizontal="left" vertical="center"/>
    </xf>
    <xf numFmtId="0" fontId="4" fillId="0" borderId="13" xfId="544" applyFont="1" applyBorder="1" applyAlignment="1" applyProtection="1">
      <alignment horizontal="center" vertical="center"/>
    </xf>
    <xf numFmtId="0" fontId="4" fillId="0" borderId="261" xfId="544" applyFont="1" applyBorder="1" applyAlignment="1" applyProtection="1">
      <alignment horizontal="center" vertical="center"/>
    </xf>
    <xf numFmtId="0" fontId="133" fillId="0" borderId="13" xfId="544" applyFont="1" applyBorder="1" applyAlignment="1" applyProtection="1">
      <alignment horizontal="center" vertical="center"/>
    </xf>
    <xf numFmtId="0" fontId="4" fillId="0" borderId="295" xfId="544" applyFont="1" applyBorder="1" applyAlignment="1" applyProtection="1">
      <alignment horizontal="left" vertical="center"/>
    </xf>
    <xf numFmtId="0" fontId="4" fillId="0" borderId="262" xfId="544" applyFont="1" applyBorder="1" applyAlignment="1" applyProtection="1">
      <alignment horizontal="left" vertical="center"/>
    </xf>
    <xf numFmtId="0" fontId="133" fillId="0" borderId="142" xfId="544" applyFont="1" applyBorder="1" applyAlignment="1" applyProtection="1">
      <alignment horizontal="center" vertical="center"/>
    </xf>
    <xf numFmtId="0" fontId="133" fillId="0" borderId="143" xfId="544" applyFont="1" applyBorder="1" applyAlignment="1" applyProtection="1">
      <alignment horizontal="center" vertical="center"/>
    </xf>
    <xf numFmtId="0" fontId="5" fillId="27" borderId="34" xfId="544" applyFont="1" applyFill="1" applyBorder="1" applyAlignment="1" applyProtection="1">
      <alignment horizontal="left" vertical="top"/>
    </xf>
    <xf numFmtId="0" fontId="5" fillId="27" borderId="35" xfId="544" applyFont="1" applyFill="1" applyBorder="1" applyAlignment="1" applyProtection="1">
      <alignment horizontal="left" vertical="top"/>
    </xf>
    <xf numFmtId="0" fontId="4" fillId="27" borderId="35" xfId="544" applyFont="1" applyFill="1" applyBorder="1" applyAlignment="1" applyProtection="1">
      <alignment horizontal="left" vertical="top"/>
      <protection locked="0"/>
    </xf>
    <xf numFmtId="0" fontId="4" fillId="27" borderId="36" xfId="544" applyFont="1" applyFill="1" applyBorder="1" applyAlignment="1" applyProtection="1">
      <alignment horizontal="left" vertical="top"/>
      <protection locked="0"/>
    </xf>
    <xf numFmtId="0" fontId="5" fillId="27" borderId="138" xfId="544" applyFont="1" applyFill="1" applyBorder="1" applyAlignment="1" applyProtection="1">
      <alignment horizontal="center" vertical="center"/>
      <protection locked="0"/>
    </xf>
    <xf numFmtId="0" fontId="5" fillId="27" borderId="347" xfId="544" applyFont="1" applyFill="1" applyBorder="1" applyAlignment="1" applyProtection="1">
      <alignment horizontal="center" vertical="center"/>
      <protection locked="0"/>
    </xf>
    <xf numFmtId="0" fontId="5" fillId="27" borderId="100" xfId="544" applyFont="1" applyFill="1" applyBorder="1" applyAlignment="1" applyProtection="1">
      <alignment horizontal="center" vertical="center"/>
      <protection locked="0"/>
    </xf>
    <xf numFmtId="0" fontId="5" fillId="25" borderId="14" xfId="68" applyFont="1" applyFill="1" applyBorder="1" applyAlignment="1" applyProtection="1">
      <alignment horizontal="center" vertical="center"/>
    </xf>
    <xf numFmtId="0" fontId="5" fillId="25" borderId="13" xfId="68" applyFont="1" applyFill="1" applyBorder="1" applyAlignment="1" applyProtection="1">
      <alignment horizontal="center" vertical="center"/>
    </xf>
    <xf numFmtId="0" fontId="5" fillId="25" borderId="18" xfId="68" applyFont="1" applyFill="1" applyBorder="1" applyAlignment="1" applyProtection="1">
      <alignment horizontal="center" vertical="center"/>
    </xf>
    <xf numFmtId="1" fontId="5" fillId="0" borderId="14" xfId="544" applyNumberFormat="1" applyFont="1" applyBorder="1" applyAlignment="1" applyProtection="1">
      <alignment horizontal="center" vertical="center"/>
    </xf>
    <xf numFmtId="1" fontId="5" fillId="0" borderId="13" xfId="544" applyNumberFormat="1" applyFont="1" applyBorder="1" applyAlignment="1" applyProtection="1">
      <alignment horizontal="center" vertical="center"/>
    </xf>
    <xf numFmtId="1" fontId="5" fillId="0" borderId="261" xfId="544" applyNumberFormat="1" applyFont="1" applyBorder="1" applyAlignment="1" applyProtection="1">
      <alignment horizontal="center" vertical="center"/>
    </xf>
    <xf numFmtId="0" fontId="2" fillId="2" borderId="385" xfId="544" applyFont="1" applyFill="1" applyBorder="1" applyAlignment="1" applyProtection="1">
      <alignment horizontal="center" vertical="center"/>
      <protection locked="0"/>
    </xf>
    <xf numFmtId="0" fontId="2" fillId="2" borderId="386" xfId="544" applyFont="1" applyFill="1" applyBorder="1" applyAlignment="1" applyProtection="1">
      <alignment horizontal="center" vertical="center"/>
      <protection locked="0"/>
    </xf>
    <xf numFmtId="2" fontId="171" fillId="0" borderId="375" xfId="544" applyNumberFormat="1" applyFont="1" applyBorder="1" applyAlignment="1" applyProtection="1">
      <alignment horizontal="center" vertical="center"/>
    </xf>
    <xf numFmtId="2" fontId="171" fillId="0" borderId="88" xfId="544" applyNumberFormat="1" applyFont="1" applyBorder="1" applyAlignment="1" applyProtection="1">
      <alignment horizontal="center" vertical="center"/>
    </xf>
    <xf numFmtId="2" fontId="171" fillId="0" borderId="376" xfId="544" applyNumberFormat="1" applyFont="1" applyBorder="1" applyAlignment="1" applyProtection="1">
      <alignment horizontal="center" vertical="center"/>
    </xf>
    <xf numFmtId="0" fontId="4" fillId="0" borderId="138" xfId="544" applyFont="1" applyBorder="1" applyAlignment="1" applyProtection="1">
      <alignment vertical="center"/>
    </xf>
    <xf numFmtId="0" fontId="4" fillId="0" borderId="347" xfId="544" applyFont="1" applyBorder="1" applyAlignment="1" applyProtection="1">
      <alignment vertical="center"/>
    </xf>
    <xf numFmtId="0" fontId="4" fillId="0" borderId="347" xfId="544" applyFont="1" applyBorder="1" applyAlignment="1" applyProtection="1">
      <alignment horizontal="center" vertical="center"/>
    </xf>
    <xf numFmtId="0" fontId="4" fillId="0" borderId="260" xfId="544" applyFont="1" applyBorder="1" applyAlignment="1" applyProtection="1">
      <alignment horizontal="center" vertical="center"/>
    </xf>
    <xf numFmtId="0" fontId="133" fillId="0" borderId="347" xfId="544" applyFont="1" applyBorder="1" applyAlignment="1" applyProtection="1">
      <alignment horizontal="center" vertical="center"/>
    </xf>
    <xf numFmtId="173" fontId="171" fillId="0" borderId="16" xfId="544" applyNumberFormat="1" applyFont="1" applyBorder="1" applyAlignment="1" applyProtection="1">
      <alignment horizontal="center" vertical="center"/>
    </xf>
    <xf numFmtId="173" fontId="171" fillId="0" borderId="347" xfId="544" applyNumberFormat="1" applyFont="1" applyBorder="1" applyAlignment="1" applyProtection="1">
      <alignment horizontal="center" vertical="center"/>
    </xf>
    <xf numFmtId="173" fontId="171" fillId="0" borderId="260" xfId="544" applyNumberFormat="1" applyFont="1" applyBorder="1" applyAlignment="1" applyProtection="1">
      <alignment horizontal="center" vertical="center"/>
    </xf>
    <xf numFmtId="0" fontId="4" fillId="27" borderId="379" xfId="544" applyFont="1" applyFill="1" applyBorder="1" applyAlignment="1" applyProtection="1">
      <alignment horizontal="center" vertical="center"/>
    </xf>
    <xf numFmtId="0" fontId="4" fillId="27" borderId="380" xfId="544" applyFont="1" applyFill="1" applyBorder="1" applyAlignment="1" applyProtection="1">
      <alignment horizontal="center" vertical="center"/>
    </xf>
    <xf numFmtId="0" fontId="4" fillId="27" borderId="383" xfId="544" applyFont="1" applyFill="1" applyBorder="1" applyAlignment="1" applyProtection="1">
      <alignment horizontal="center" vertical="center"/>
    </xf>
    <xf numFmtId="0" fontId="4" fillId="27" borderId="384" xfId="544" applyFont="1" applyFill="1" applyBorder="1" applyAlignment="1" applyProtection="1">
      <alignment horizontal="center" vertical="center"/>
    </xf>
    <xf numFmtId="0" fontId="4" fillId="27" borderId="381" xfId="544" applyFont="1" applyFill="1" applyBorder="1" applyAlignment="1" applyProtection="1">
      <alignment horizontal="left" vertical="center"/>
    </xf>
    <xf numFmtId="0" fontId="4" fillId="27" borderId="381" xfId="544" applyFont="1" applyFill="1" applyBorder="1" applyAlignment="1" applyProtection="1">
      <alignment horizontal="center" vertical="center"/>
    </xf>
    <xf numFmtId="0" fontId="4" fillId="27" borderId="382" xfId="544" applyFont="1" applyFill="1" applyBorder="1" applyAlignment="1" applyProtection="1">
      <alignment horizontal="center" vertical="center"/>
    </xf>
    <xf numFmtId="0" fontId="4" fillId="27" borderId="385" xfId="544" applyFont="1" applyFill="1" applyBorder="1" applyAlignment="1" applyProtection="1">
      <alignment horizontal="left" vertical="center"/>
    </xf>
    <xf numFmtId="0" fontId="133" fillId="0" borderId="391" xfId="544" applyFont="1" applyBorder="1" applyAlignment="1" applyProtection="1">
      <alignment horizontal="center" vertical="center"/>
    </xf>
    <xf numFmtId="0" fontId="133" fillId="0" borderId="392" xfId="544" applyFont="1" applyBorder="1" applyAlignment="1" applyProtection="1">
      <alignment horizontal="center" vertical="center"/>
    </xf>
    <xf numFmtId="0" fontId="5" fillId="25" borderId="16" xfId="68" applyFont="1" applyFill="1" applyBorder="1" applyAlignment="1" applyProtection="1">
      <alignment horizontal="left" vertical="center" indent="3"/>
    </xf>
    <xf numFmtId="0" fontId="5" fillId="25" borderId="347" xfId="68" applyFont="1" applyFill="1" applyBorder="1" applyAlignment="1" applyProtection="1">
      <alignment horizontal="left" vertical="center" indent="3"/>
    </xf>
    <xf numFmtId="0" fontId="5" fillId="25" borderId="15" xfId="68" applyFont="1" applyFill="1" applyBorder="1" applyAlignment="1" applyProtection="1">
      <alignment horizontal="left" vertical="center" indent="3"/>
    </xf>
    <xf numFmtId="0" fontId="4" fillId="27" borderId="16" xfId="71" applyFont="1" applyFill="1" applyBorder="1" applyAlignment="1" applyProtection="1">
      <alignment horizontal="center"/>
      <protection locked="0"/>
    </xf>
    <xf numFmtId="0" fontId="4" fillId="27" borderId="347" xfId="71" applyFont="1" applyFill="1" applyBorder="1" applyAlignment="1" applyProtection="1">
      <alignment horizontal="center"/>
      <protection locked="0"/>
    </xf>
    <xf numFmtId="0" fontId="4" fillId="27" borderId="15" xfId="71" applyFont="1" applyFill="1" applyBorder="1" applyAlignment="1" applyProtection="1">
      <alignment horizontal="center"/>
      <protection locked="0"/>
    </xf>
    <xf numFmtId="0" fontId="4" fillId="27" borderId="16" xfId="68" applyFont="1" applyFill="1" applyBorder="1" applyAlignment="1" applyProtection="1">
      <alignment horizontal="center"/>
      <protection locked="0"/>
    </xf>
    <xf numFmtId="0" fontId="4" fillId="27" borderId="347" xfId="68" applyFont="1" applyFill="1" applyBorder="1" applyAlignment="1" applyProtection="1">
      <alignment horizontal="center"/>
      <protection locked="0"/>
    </xf>
    <xf numFmtId="0" fontId="4" fillId="27" borderId="15" xfId="68" applyFont="1" applyFill="1" applyBorder="1" applyAlignment="1" applyProtection="1">
      <alignment horizontal="center"/>
      <protection locked="0"/>
    </xf>
    <xf numFmtId="0" fontId="4" fillId="27" borderId="16" xfId="71" applyFont="1" applyFill="1" applyBorder="1" applyAlignment="1" applyProtection="1">
      <alignment horizontal="center"/>
    </xf>
    <xf numFmtId="0" fontId="4" fillId="27" borderId="347" xfId="71" applyFont="1" applyFill="1" applyBorder="1" applyAlignment="1" applyProtection="1">
      <alignment horizontal="center"/>
    </xf>
    <xf numFmtId="0" fontId="4" fillId="27" borderId="15" xfId="71" applyFont="1" applyFill="1" applyBorder="1" applyAlignment="1" applyProtection="1">
      <alignment horizontal="center"/>
    </xf>
    <xf numFmtId="0" fontId="47" fillId="0" borderId="156" xfId="69" applyFont="1" applyBorder="1" applyAlignment="1" applyProtection="1">
      <alignment horizontal="center" vertical="center" wrapText="1"/>
    </xf>
    <xf numFmtId="0" fontId="47" fillId="0" borderId="58" xfId="70" applyFont="1" applyFill="1" applyBorder="1" applyAlignment="1" applyProtection="1">
      <alignment horizontal="center" vertical="center" wrapText="1"/>
    </xf>
    <xf numFmtId="0" fontId="5" fillId="25" borderId="20" xfId="68" applyFont="1" applyFill="1" applyBorder="1" applyAlignment="1" applyProtection="1">
      <alignment horizontal="left" vertical="center" indent="3"/>
    </xf>
    <xf numFmtId="0" fontId="5" fillId="25" borderId="0" xfId="68" applyFont="1" applyFill="1" applyBorder="1" applyAlignment="1" applyProtection="1">
      <alignment horizontal="left" vertical="center" indent="3"/>
    </xf>
    <xf numFmtId="0" fontId="5" fillId="25" borderId="19" xfId="68" applyFont="1" applyFill="1" applyBorder="1" applyAlignment="1" applyProtection="1">
      <alignment horizontal="left" vertical="center" indent="3"/>
    </xf>
    <xf numFmtId="0" fontId="1" fillId="27" borderId="20" xfId="71" applyFont="1" applyFill="1" applyBorder="1" applyAlignment="1" applyProtection="1">
      <alignment horizontal="center"/>
    </xf>
    <xf numFmtId="0" fontId="1" fillId="27" borderId="0" xfId="71" applyFont="1" applyFill="1" applyBorder="1" applyAlignment="1" applyProtection="1">
      <alignment horizontal="center"/>
    </xf>
    <xf numFmtId="0" fontId="1" fillId="27" borderId="19" xfId="71" applyFont="1" applyFill="1" applyBorder="1" applyAlignment="1" applyProtection="1">
      <alignment horizontal="center"/>
    </xf>
    <xf numFmtId="0" fontId="1" fillId="27" borderId="20" xfId="68" applyFont="1" applyFill="1" applyBorder="1" applyAlignment="1" applyProtection="1">
      <alignment horizontal="center"/>
    </xf>
    <xf numFmtId="0" fontId="1" fillId="27" borderId="0" xfId="68" applyFont="1" applyFill="1" applyBorder="1" applyAlignment="1" applyProtection="1">
      <alignment horizontal="center"/>
    </xf>
    <xf numFmtId="0" fontId="1" fillId="27" borderId="19" xfId="68" applyFont="1" applyFill="1" applyBorder="1" applyAlignment="1" applyProtection="1">
      <alignment horizontal="center"/>
    </xf>
    <xf numFmtId="0" fontId="4" fillId="27" borderId="20" xfId="71" quotePrefix="1" applyFont="1" applyFill="1" applyBorder="1" applyAlignment="1" applyProtection="1">
      <alignment horizontal="center"/>
      <protection locked="0"/>
    </xf>
    <xf numFmtId="0" fontId="4" fillId="27" borderId="0" xfId="71" applyFont="1" applyFill="1" applyBorder="1" applyAlignment="1" applyProtection="1">
      <alignment horizontal="center"/>
      <protection locked="0"/>
    </xf>
    <xf numFmtId="0" fontId="4" fillId="27" borderId="19" xfId="71" applyFont="1" applyFill="1" applyBorder="1" applyAlignment="1" applyProtection="1">
      <alignment horizontal="center"/>
      <protection locked="0"/>
    </xf>
    <xf numFmtId="0" fontId="4" fillId="27" borderId="20" xfId="68" quotePrefix="1" applyFont="1" applyFill="1" applyBorder="1" applyAlignment="1" applyProtection="1">
      <alignment horizontal="center"/>
      <protection locked="0"/>
    </xf>
    <xf numFmtId="0" fontId="4" fillId="27" borderId="0" xfId="68" applyFont="1" applyFill="1" applyBorder="1" applyAlignment="1" applyProtection="1">
      <alignment horizontal="center"/>
      <protection locked="0"/>
    </xf>
    <xf numFmtId="0" fontId="4" fillId="27" borderId="19" xfId="68" applyFont="1" applyFill="1" applyBorder="1" applyAlignment="1" applyProtection="1">
      <alignment horizontal="center"/>
      <protection locked="0"/>
    </xf>
    <xf numFmtId="0" fontId="1" fillId="2" borderId="57" xfId="21" applyFill="1" applyBorder="1" applyAlignment="1" applyProtection="1">
      <alignment horizontal="center"/>
    </xf>
    <xf numFmtId="1" fontId="2" fillId="2" borderId="12" xfId="21" applyNumberFormat="1" applyFont="1" applyFill="1" applyBorder="1" applyAlignment="1" applyProtection="1">
      <alignment horizontal="center" vertical="center"/>
    </xf>
    <xf numFmtId="1" fontId="2" fillId="2" borderId="11" xfId="21" applyNumberFormat="1" applyFont="1" applyFill="1" applyBorder="1" applyAlignment="1" applyProtection="1">
      <alignment horizontal="center" vertical="center"/>
    </xf>
    <xf numFmtId="1" fontId="2" fillId="2" borderId="10" xfId="21" applyNumberFormat="1" applyFont="1" applyFill="1" applyBorder="1" applyAlignment="1" applyProtection="1">
      <alignment horizontal="center" vertical="center"/>
    </xf>
    <xf numFmtId="0" fontId="1" fillId="2" borderId="57" xfId="21" applyFill="1" applyBorder="1" applyProtection="1">
      <protection locked="0"/>
    </xf>
    <xf numFmtId="0" fontId="1" fillId="2" borderId="12" xfId="21" applyFill="1" applyBorder="1" applyProtection="1"/>
    <xf numFmtId="0" fontId="1" fillId="2" borderId="11" xfId="21" applyFill="1" applyBorder="1" applyProtection="1"/>
    <xf numFmtId="0" fontId="1" fillId="2" borderId="10" xfId="21" applyFill="1" applyBorder="1" applyProtection="1"/>
    <xf numFmtId="0" fontId="1" fillId="2" borderId="12" xfId="21" applyFill="1" applyBorder="1" applyAlignment="1" applyProtection="1">
      <alignment horizontal="center"/>
    </xf>
    <xf numFmtId="0" fontId="1" fillId="2" borderId="11" xfId="21" applyFill="1" applyBorder="1" applyAlignment="1" applyProtection="1">
      <alignment horizontal="center"/>
    </xf>
    <xf numFmtId="0" fontId="1" fillId="2" borderId="10" xfId="21" applyFill="1" applyBorder="1" applyAlignment="1" applyProtection="1">
      <alignment horizontal="center"/>
    </xf>
    <xf numFmtId="2" fontId="193" fillId="2" borderId="57" xfId="21" applyNumberFormat="1" applyFont="1" applyFill="1" applyBorder="1" applyAlignment="1" applyProtection="1">
      <alignment vertical="center"/>
    </xf>
    <xf numFmtId="0" fontId="1" fillId="2" borderId="0" xfId="21" applyFill="1" applyProtection="1"/>
    <xf numFmtId="0" fontId="1" fillId="2" borderId="19" xfId="21" applyFill="1" applyBorder="1" applyProtection="1"/>
    <xf numFmtId="0" fontId="194" fillId="2" borderId="57" xfId="21" applyFont="1" applyFill="1" applyBorder="1" applyAlignment="1" applyProtection="1"/>
    <xf numFmtId="2" fontId="1" fillId="2" borderId="57" xfId="21" applyNumberFormat="1" applyFill="1" applyBorder="1" applyAlignment="1" applyProtection="1">
      <alignment horizontal="center"/>
    </xf>
    <xf numFmtId="1" fontId="1" fillId="2" borderId="57" xfId="21" applyNumberFormat="1" applyFill="1" applyBorder="1" applyProtection="1">
      <protection locked="0"/>
    </xf>
    <xf numFmtId="1" fontId="1" fillId="2" borderId="12" xfId="21" applyNumberFormat="1" applyFill="1" applyBorder="1" applyAlignment="1" applyProtection="1">
      <alignment horizontal="center"/>
    </xf>
    <xf numFmtId="0" fontId="43" fillId="25" borderId="14" xfId="21" applyFont="1" applyFill="1" applyBorder="1" applyAlignment="1" applyProtection="1">
      <alignment horizontal="center" vertical="center" wrapText="1"/>
    </xf>
    <xf numFmtId="0" fontId="43" fillId="25" borderId="13" xfId="21" applyFont="1" applyFill="1" applyBorder="1" applyAlignment="1" applyProtection="1">
      <alignment horizontal="center" vertical="center" wrapText="1"/>
    </xf>
    <xf numFmtId="0" fontId="43" fillId="25" borderId="18" xfId="21" applyFont="1" applyFill="1" applyBorder="1" applyAlignment="1" applyProtection="1">
      <alignment horizontal="center" vertical="center" wrapText="1"/>
    </xf>
    <xf numFmtId="0" fontId="43" fillId="25" borderId="16" xfId="21" applyFont="1" applyFill="1" applyBorder="1" applyAlignment="1" applyProtection="1">
      <alignment horizontal="center" vertical="center" wrapText="1"/>
    </xf>
    <xf numFmtId="0" fontId="43" fillId="25" borderId="347" xfId="21" applyFont="1" applyFill="1" applyBorder="1" applyAlignment="1" applyProtection="1">
      <alignment horizontal="center" vertical="center" wrapText="1"/>
    </xf>
    <xf numFmtId="0" fontId="43" fillId="25" borderId="15" xfId="21" applyFont="1" applyFill="1" applyBorder="1" applyAlignment="1" applyProtection="1">
      <alignment horizontal="center" vertical="center" wrapText="1"/>
    </xf>
    <xf numFmtId="0" fontId="43" fillId="25" borderId="14" xfId="21" applyFont="1" applyFill="1" applyBorder="1" applyAlignment="1" applyProtection="1">
      <alignment horizontal="center" vertical="center"/>
    </xf>
    <xf numFmtId="0" fontId="43" fillId="25" borderId="13" xfId="21" applyFont="1" applyFill="1" applyBorder="1" applyAlignment="1" applyProtection="1">
      <alignment horizontal="center" vertical="center"/>
    </xf>
    <xf numFmtId="0" fontId="43" fillId="25" borderId="18" xfId="21" applyFont="1" applyFill="1" applyBorder="1" applyAlignment="1" applyProtection="1">
      <alignment horizontal="center" vertical="center"/>
    </xf>
    <xf numFmtId="0" fontId="43" fillId="25" borderId="16" xfId="21" applyFont="1" applyFill="1" applyBorder="1" applyAlignment="1" applyProtection="1">
      <alignment horizontal="center" vertical="center"/>
    </xf>
    <xf numFmtId="0" fontId="43" fillId="25" borderId="347" xfId="21" applyFont="1" applyFill="1" applyBorder="1" applyAlignment="1" applyProtection="1">
      <alignment horizontal="center" vertical="center"/>
    </xf>
    <xf numFmtId="0" fontId="43" fillId="25" borderId="15" xfId="21" applyFont="1" applyFill="1" applyBorder="1" applyAlignment="1" applyProtection="1">
      <alignment horizontal="center" vertical="center"/>
    </xf>
    <xf numFmtId="0" fontId="43" fillId="2" borderId="14" xfId="21" applyFont="1" applyFill="1" applyBorder="1" applyAlignment="1" applyProtection="1">
      <alignment horizontal="center" vertical="center"/>
      <protection locked="0"/>
    </xf>
    <xf numFmtId="0" fontId="43" fillId="2" borderId="13" xfId="21" applyFont="1" applyFill="1" applyBorder="1" applyAlignment="1" applyProtection="1">
      <alignment horizontal="center" vertical="center"/>
      <protection locked="0"/>
    </xf>
    <xf numFmtId="0" fontId="43" fillId="2" borderId="18" xfId="21" applyFont="1" applyFill="1" applyBorder="1" applyAlignment="1" applyProtection="1">
      <alignment horizontal="center" vertical="center"/>
      <protection locked="0"/>
    </xf>
    <xf numFmtId="0" fontId="43" fillId="2" borderId="16" xfId="21" applyFont="1" applyFill="1" applyBorder="1" applyAlignment="1" applyProtection="1">
      <alignment horizontal="center" vertical="center"/>
      <protection locked="0"/>
    </xf>
    <xf numFmtId="0" fontId="43" fillId="2" borderId="347" xfId="21" applyFont="1" applyFill="1" applyBorder="1" applyAlignment="1" applyProtection="1">
      <alignment horizontal="center" vertical="center"/>
      <protection locked="0"/>
    </xf>
    <xf numFmtId="0" fontId="43" fillId="2" borderId="15" xfId="21" applyFont="1" applyFill="1" applyBorder="1" applyAlignment="1" applyProtection="1">
      <alignment horizontal="center" vertical="center"/>
      <protection locked="0"/>
    </xf>
    <xf numFmtId="0" fontId="43" fillId="25" borderId="57" xfId="21" applyFont="1" applyFill="1" applyBorder="1" applyAlignment="1" applyProtection="1">
      <alignment horizontal="center" vertical="center" wrapText="1"/>
    </xf>
    <xf numFmtId="0" fontId="5" fillId="27" borderId="20" xfId="0" applyFont="1" applyFill="1" applyBorder="1" applyAlignment="1" applyProtection="1">
      <alignment horizontal="left" vertical="center"/>
    </xf>
    <xf numFmtId="0" fontId="5" fillId="27" borderId="145" xfId="0" applyFont="1" applyFill="1" applyBorder="1" applyAlignment="1" applyProtection="1">
      <alignment horizontal="left" vertical="center"/>
    </xf>
    <xf numFmtId="0" fontId="5" fillId="27" borderId="144" xfId="0" applyFont="1" applyFill="1" applyBorder="1" applyAlignment="1" applyProtection="1">
      <alignment horizontal="left" vertical="center"/>
    </xf>
    <xf numFmtId="0" fontId="5" fillId="27" borderId="144" xfId="0" applyFont="1" applyFill="1" applyBorder="1" applyAlignment="1" applyProtection="1">
      <alignment horizontal="center" vertical="center"/>
    </xf>
    <xf numFmtId="0" fontId="5" fillId="27" borderId="144" xfId="0" applyFont="1" applyFill="1" applyBorder="1" applyAlignment="1" applyProtection="1">
      <alignment horizontal="center" vertical="center"/>
      <protection locked="0"/>
    </xf>
    <xf numFmtId="0" fontId="5" fillId="27" borderId="227" xfId="0" applyFont="1" applyFill="1" applyBorder="1" applyAlignment="1" applyProtection="1">
      <alignment horizontal="center" vertical="center"/>
      <protection locked="0"/>
    </xf>
    <xf numFmtId="1" fontId="12" fillId="2" borderId="347" xfId="21" applyNumberFormat="1" applyFont="1" applyFill="1" applyBorder="1" applyAlignment="1" applyProtection="1">
      <alignment horizontal="center" vertical="center"/>
      <protection locked="0"/>
    </xf>
    <xf numFmtId="0" fontId="155" fillId="0" borderId="16" xfId="1" applyFont="1" applyBorder="1" applyAlignment="1" applyProtection="1">
      <alignment horizontal="center" vertical="center"/>
    </xf>
    <xf numFmtId="0" fontId="155" fillId="0" borderId="347" xfId="1" applyFont="1" applyBorder="1" applyAlignment="1" applyProtection="1">
      <alignment horizontal="center" vertical="center"/>
    </xf>
    <xf numFmtId="0" fontId="155" fillId="0" borderId="347" xfId="1" applyFont="1" applyBorder="1" applyAlignment="1" applyProtection="1">
      <alignment horizontal="center"/>
    </xf>
    <xf numFmtId="0" fontId="155" fillId="0" borderId="347" xfId="1" applyFont="1" applyBorder="1" applyAlignment="1" applyProtection="1">
      <alignment horizontal="center"/>
      <protection locked="0"/>
    </xf>
    <xf numFmtId="0" fontId="155" fillId="0" borderId="15" xfId="1" applyFont="1" applyBorder="1" applyAlignment="1" applyProtection="1">
      <alignment horizontal="center"/>
      <protection locked="0"/>
    </xf>
    <xf numFmtId="0" fontId="4" fillId="2" borderId="12" xfId="21" applyFont="1" applyFill="1" applyBorder="1" applyAlignment="1" applyProtection="1">
      <alignment horizontal="left" vertical="center"/>
    </xf>
    <xf numFmtId="0" fontId="4" fillId="2" borderId="11" xfId="21" applyFont="1" applyFill="1" applyBorder="1" applyAlignment="1" applyProtection="1">
      <alignment horizontal="left" vertical="center"/>
    </xf>
    <xf numFmtId="0" fontId="0" fillId="0" borderId="11" xfId="0" applyBorder="1" applyAlignment="1" applyProtection="1">
      <alignment horizontal="center"/>
      <protection locked="0"/>
    </xf>
    <xf numFmtId="0" fontId="0" fillId="0" borderId="10" xfId="0" applyBorder="1" applyAlignment="1" applyProtection="1">
      <alignment horizontal="center"/>
      <protection locked="0"/>
    </xf>
    <xf numFmtId="167" fontId="4" fillId="2" borderId="11" xfId="21" applyNumberFormat="1" applyFont="1" applyFill="1" applyBorder="1" applyAlignment="1" applyProtection="1">
      <alignment horizontal="center" vertical="center"/>
      <protection locked="0"/>
    </xf>
    <xf numFmtId="167" fontId="4" fillId="2" borderId="10" xfId="21" applyNumberFormat="1" applyFont="1" applyFill="1" applyBorder="1" applyAlignment="1" applyProtection="1">
      <alignment horizontal="center" vertical="center"/>
      <protection locked="0"/>
    </xf>
    <xf numFmtId="0" fontId="4" fillId="27" borderId="47" xfId="71" applyFont="1" applyFill="1" applyBorder="1" applyAlignment="1" applyProtection="1">
      <alignment horizontal="center" vertical="center"/>
    </xf>
    <xf numFmtId="0" fontId="4" fillId="27" borderId="46" xfId="71" applyFont="1" applyFill="1" applyBorder="1" applyAlignment="1" applyProtection="1">
      <alignment horizontal="center" vertical="center"/>
    </xf>
    <xf numFmtId="0" fontId="4" fillId="27" borderId="48" xfId="71" applyFont="1" applyFill="1" applyBorder="1" applyAlignment="1" applyProtection="1">
      <alignment horizontal="center" vertical="center"/>
    </xf>
    <xf numFmtId="0" fontId="4" fillId="27" borderId="47" xfId="68" applyFont="1" applyFill="1" applyBorder="1" applyAlignment="1" applyProtection="1">
      <alignment horizontal="center" vertical="center"/>
    </xf>
    <xf numFmtId="0" fontId="4" fillId="27" borderId="46" xfId="68" applyFont="1" applyFill="1" applyBorder="1" applyAlignment="1" applyProtection="1">
      <alignment horizontal="center" vertical="center"/>
    </xf>
    <xf numFmtId="0" fontId="4" fillId="27" borderId="48" xfId="68" applyFont="1" applyFill="1" applyBorder="1" applyAlignment="1" applyProtection="1">
      <alignment horizontal="center" vertical="center"/>
    </xf>
    <xf numFmtId="0" fontId="137" fillId="25" borderId="301" xfId="68" applyFont="1" applyFill="1" applyBorder="1" applyAlignment="1" applyProtection="1">
      <alignment horizontal="center" vertical="center"/>
    </xf>
    <xf numFmtId="0" fontId="47" fillId="0" borderId="302" xfId="69" applyFont="1" applyBorder="1" applyAlignment="1" applyProtection="1">
      <alignment horizontal="center" vertical="center" wrapText="1"/>
    </xf>
    <xf numFmtId="0" fontId="5" fillId="25" borderId="37" xfId="71" applyFont="1" applyFill="1" applyBorder="1" applyAlignment="1" applyProtection="1">
      <alignment horizontal="left" vertical="center" indent="2"/>
    </xf>
    <xf numFmtId="0" fontId="5" fillId="25" borderId="0" xfId="71" applyFont="1" applyFill="1" applyBorder="1" applyAlignment="1" applyProtection="1">
      <alignment horizontal="left" vertical="center" indent="2"/>
    </xf>
    <xf numFmtId="0" fontId="5" fillId="25" borderId="38" xfId="71" applyFont="1" applyFill="1" applyBorder="1" applyAlignment="1" applyProtection="1">
      <alignment horizontal="left" vertical="center" indent="2"/>
    </xf>
    <xf numFmtId="0" fontId="1" fillId="27" borderId="37" xfId="71" applyFont="1" applyFill="1" applyBorder="1" applyAlignment="1" applyProtection="1">
      <alignment horizontal="center" vertical="center"/>
      <protection locked="0"/>
    </xf>
    <xf numFmtId="0" fontId="1" fillId="27" borderId="0" xfId="71" applyFont="1" applyFill="1" applyBorder="1" applyAlignment="1" applyProtection="1">
      <alignment horizontal="center" vertical="center"/>
      <protection locked="0"/>
    </xf>
    <xf numFmtId="0" fontId="1" fillId="27" borderId="38" xfId="71" applyFont="1" applyFill="1" applyBorder="1" applyAlignment="1" applyProtection="1">
      <alignment horizontal="center" vertical="center"/>
      <protection locked="0"/>
    </xf>
    <xf numFmtId="0" fontId="3" fillId="27" borderId="37" xfId="68" applyFont="1" applyFill="1" applyBorder="1" applyAlignment="1" applyProtection="1">
      <alignment horizontal="center" vertical="center"/>
      <protection locked="0"/>
    </xf>
    <xf numFmtId="0" fontId="3" fillId="27" borderId="0" xfId="68" applyFont="1" applyFill="1" applyBorder="1" applyAlignment="1" applyProtection="1">
      <alignment horizontal="center" vertical="center"/>
      <protection locked="0"/>
    </xf>
    <xf numFmtId="0" fontId="3" fillId="27" borderId="38" xfId="68" applyFont="1" applyFill="1" applyBorder="1" applyAlignment="1" applyProtection="1">
      <alignment horizontal="center" vertical="center"/>
      <protection locked="0"/>
    </xf>
    <xf numFmtId="0" fontId="4" fillId="27" borderId="37" xfId="71" quotePrefix="1" applyFont="1" applyFill="1" applyBorder="1" applyAlignment="1" applyProtection="1">
      <alignment horizontal="center" vertical="center"/>
      <protection locked="0"/>
    </xf>
    <xf numFmtId="0" fontId="4" fillId="27" borderId="0" xfId="71" applyFont="1" applyFill="1" applyBorder="1" applyAlignment="1" applyProtection="1">
      <alignment horizontal="center" vertical="center"/>
      <protection locked="0"/>
    </xf>
    <xf numFmtId="0" fontId="4" fillId="27" borderId="38" xfId="71" applyFont="1" applyFill="1" applyBorder="1" applyAlignment="1" applyProtection="1">
      <alignment horizontal="center" vertical="center"/>
      <protection locked="0"/>
    </xf>
    <xf numFmtId="12" fontId="129" fillId="27" borderId="185" xfId="1" applyNumberFormat="1" applyFont="1" applyFill="1" applyBorder="1" applyAlignment="1" applyProtection="1">
      <alignment horizontal="center" vertical="center" wrapText="1"/>
    </xf>
    <xf numFmtId="12" fontId="129" fillId="27" borderId="0" xfId="1" applyNumberFormat="1" applyFont="1" applyFill="1" applyBorder="1" applyAlignment="1" applyProtection="1">
      <alignment horizontal="center" vertical="center" wrapText="1"/>
    </xf>
    <xf numFmtId="172" fontId="129" fillId="27" borderId="185" xfId="1" applyNumberFormat="1" applyFont="1" applyFill="1" applyBorder="1" applyAlignment="1" applyProtection="1">
      <alignment horizontal="center" vertical="center" wrapText="1"/>
    </xf>
    <xf numFmtId="172" fontId="129" fillId="27" borderId="0" xfId="1" applyNumberFormat="1" applyFont="1" applyFill="1" applyBorder="1" applyAlignment="1" applyProtection="1">
      <alignment horizontal="center" vertical="center" wrapText="1"/>
    </xf>
    <xf numFmtId="168" fontId="2" fillId="2" borderId="40" xfId="21" applyNumberFormat="1" applyFont="1" applyFill="1" applyBorder="1" applyAlignment="1" applyProtection="1">
      <alignment horizontal="left"/>
      <protection locked="0"/>
    </xf>
    <xf numFmtId="168" fontId="2" fillId="2" borderId="155" xfId="21" applyNumberFormat="1" applyFont="1" applyFill="1" applyBorder="1" applyAlignment="1" applyProtection="1">
      <alignment horizontal="left"/>
      <protection locked="0"/>
    </xf>
    <xf numFmtId="0" fontId="5" fillId="27" borderId="14" xfId="0" applyFont="1" applyFill="1" applyBorder="1" applyAlignment="1" applyProtection="1">
      <alignment vertical="center"/>
    </xf>
    <xf numFmtId="0" fontId="5" fillId="27" borderId="13" xfId="0" applyFont="1" applyFill="1" applyBorder="1" applyAlignment="1" applyProtection="1">
      <alignment vertical="center"/>
    </xf>
    <xf numFmtId="0" fontId="5" fillId="27" borderId="154" xfId="0" applyFont="1" applyFill="1" applyBorder="1" applyAlignment="1" applyProtection="1">
      <alignment vertical="center"/>
    </xf>
    <xf numFmtId="0" fontId="5" fillId="27" borderId="40" xfId="0" applyFont="1" applyFill="1" applyBorder="1" applyAlignment="1" applyProtection="1">
      <alignment vertical="center"/>
    </xf>
    <xf numFmtId="0" fontId="155" fillId="0" borderId="0" xfId="0" applyFont="1" applyBorder="1" applyAlignment="1" applyProtection="1">
      <alignment horizontal="left"/>
      <protection locked="0"/>
    </xf>
    <xf numFmtId="0" fontId="2" fillId="27" borderId="40" xfId="0" applyFont="1" applyFill="1" applyBorder="1" applyAlignment="1" applyProtection="1">
      <alignment horizontal="left" vertical="center"/>
      <protection locked="0"/>
    </xf>
    <xf numFmtId="0" fontId="2" fillId="27" borderId="0" xfId="0" applyFont="1" applyFill="1" applyBorder="1" applyAlignment="1" applyProtection="1">
      <alignment horizontal="left" vertical="center" wrapText="1"/>
      <protection locked="0"/>
    </xf>
    <xf numFmtId="168" fontId="2" fillId="27" borderId="0" xfId="0" applyNumberFormat="1" applyFont="1" applyFill="1" applyBorder="1" applyAlignment="1" applyProtection="1">
      <alignment horizontal="left" vertical="center"/>
      <protection locked="0"/>
    </xf>
    <xf numFmtId="168" fontId="2" fillId="27" borderId="19" xfId="0" applyNumberFormat="1" applyFont="1" applyFill="1" applyBorder="1" applyAlignment="1" applyProtection="1">
      <alignment horizontal="left" vertical="center"/>
      <protection locked="0"/>
    </xf>
    <xf numFmtId="0" fontId="5" fillId="2" borderId="40" xfId="21" applyFont="1" applyFill="1" applyBorder="1" applyAlignment="1" applyProtection="1">
      <alignment horizontal="left"/>
    </xf>
    <xf numFmtId="0" fontId="5" fillId="25" borderId="37" xfId="71" applyFont="1" applyFill="1" applyBorder="1" applyAlignment="1" applyProtection="1">
      <alignment horizontal="center" vertical="center"/>
      <protection locked="0"/>
    </xf>
    <xf numFmtId="0" fontId="5" fillId="25" borderId="0" xfId="71" applyFont="1" applyFill="1" applyBorder="1" applyAlignment="1" applyProtection="1">
      <alignment horizontal="center" vertical="center"/>
      <protection locked="0"/>
    </xf>
    <xf numFmtId="0" fontId="5" fillId="25" borderId="38" xfId="71" applyFont="1" applyFill="1" applyBorder="1" applyAlignment="1" applyProtection="1">
      <alignment horizontal="center" vertical="center"/>
      <protection locked="0"/>
    </xf>
    <xf numFmtId="0" fontId="5" fillId="25" borderId="47" xfId="71" applyFont="1" applyFill="1" applyBorder="1" applyAlignment="1" applyProtection="1">
      <alignment horizontal="left" vertical="center" indent="2"/>
    </xf>
    <xf numFmtId="0" fontId="5" fillId="25" borderId="46" xfId="71" applyFont="1" applyFill="1" applyBorder="1" applyAlignment="1" applyProtection="1">
      <alignment horizontal="left" vertical="center" indent="2"/>
    </xf>
    <xf numFmtId="0" fontId="5" fillId="25" borderId="48" xfId="71" applyFont="1" applyFill="1" applyBorder="1" applyAlignment="1" applyProtection="1">
      <alignment horizontal="left" vertical="center" indent="2"/>
    </xf>
    <xf numFmtId="0" fontId="4" fillId="27" borderId="37" xfId="68" quotePrefix="1" applyFont="1" applyFill="1" applyBorder="1" applyAlignment="1" applyProtection="1">
      <alignment horizontal="center" vertical="center"/>
      <protection locked="0"/>
    </xf>
    <xf numFmtId="0" fontId="4" fillId="27" borderId="0" xfId="68" applyFont="1" applyFill="1" applyBorder="1" applyAlignment="1" applyProtection="1">
      <alignment horizontal="center" vertical="center"/>
      <protection locked="0"/>
    </xf>
    <xf numFmtId="0" fontId="4" fillId="27" borderId="38" xfId="68" applyFont="1" applyFill="1" applyBorder="1" applyAlignment="1" applyProtection="1">
      <alignment horizontal="center" vertical="center"/>
      <protection locked="0"/>
    </xf>
    <xf numFmtId="0" fontId="5" fillId="25" borderId="37" xfId="71" applyFont="1" applyFill="1" applyBorder="1" applyAlignment="1" applyProtection="1">
      <alignment horizontal="center" vertical="center"/>
    </xf>
    <xf numFmtId="0" fontId="5" fillId="25" borderId="0" xfId="71" applyFont="1" applyFill="1" applyBorder="1" applyAlignment="1" applyProtection="1">
      <alignment horizontal="center" vertical="center"/>
    </xf>
    <xf numFmtId="0" fontId="5" fillId="25" borderId="38" xfId="71" applyFont="1" applyFill="1" applyBorder="1" applyAlignment="1" applyProtection="1">
      <alignment horizontal="center" vertical="center"/>
    </xf>
    <xf numFmtId="0" fontId="5" fillId="25" borderId="37" xfId="68" applyFont="1" applyFill="1" applyBorder="1" applyAlignment="1" applyProtection="1">
      <alignment horizontal="center" vertical="center"/>
    </xf>
    <xf numFmtId="0" fontId="5" fillId="25" borderId="0" xfId="68" applyFont="1" applyFill="1" applyBorder="1" applyAlignment="1" applyProtection="1">
      <alignment horizontal="center" vertical="center"/>
    </xf>
    <xf numFmtId="0" fontId="5" fillId="25" borderId="38" xfId="68" applyFont="1" applyFill="1" applyBorder="1" applyAlignment="1" applyProtection="1">
      <alignment horizontal="center" vertical="center"/>
    </xf>
    <xf numFmtId="2" fontId="4" fillId="2" borderId="20" xfId="21" applyNumberFormat="1" applyFont="1" applyFill="1" applyBorder="1" applyAlignment="1" applyProtection="1">
      <alignment horizontal="center" vertical="center"/>
      <protection locked="0"/>
    </xf>
    <xf numFmtId="2" fontId="4" fillId="2" borderId="0" xfId="21" applyNumberFormat="1" applyFont="1" applyFill="1" applyBorder="1" applyAlignment="1" applyProtection="1">
      <alignment horizontal="center" vertical="center"/>
      <protection locked="0"/>
    </xf>
    <xf numFmtId="1" fontId="4" fillId="2" borderId="0" xfId="21" applyNumberFormat="1" applyFont="1" applyFill="1" applyBorder="1" applyAlignment="1" applyProtection="1">
      <alignment horizontal="center" vertical="center"/>
      <protection locked="0"/>
    </xf>
    <xf numFmtId="167" fontId="4" fillId="2" borderId="0" xfId="21" applyNumberFormat="1" applyFont="1" applyFill="1" applyBorder="1" applyAlignment="1" applyProtection="1">
      <alignment horizontal="center" vertical="center"/>
      <protection locked="0"/>
    </xf>
    <xf numFmtId="167" fontId="2" fillId="2" borderId="0" xfId="21" applyNumberFormat="1" applyFont="1" applyFill="1" applyBorder="1" applyAlignment="1" applyProtection="1">
      <alignment horizontal="center" vertical="center"/>
      <protection locked="0"/>
    </xf>
    <xf numFmtId="0" fontId="5" fillId="27" borderId="99" xfId="71" applyFont="1" applyFill="1" applyBorder="1" applyAlignment="1" applyProtection="1">
      <alignment horizontal="center" vertical="top" wrapText="1"/>
    </xf>
    <xf numFmtId="0" fontId="5" fillId="27" borderId="35" xfId="71" applyFont="1" applyFill="1" applyBorder="1" applyAlignment="1" applyProtection="1">
      <alignment horizontal="center" vertical="top" wrapText="1"/>
    </xf>
    <xf numFmtId="0" fontId="155" fillId="27" borderId="35" xfId="71" applyFont="1" applyFill="1" applyBorder="1" applyAlignment="1" applyProtection="1">
      <alignment horizontal="left" vertical="top" wrapText="1"/>
      <protection locked="0"/>
    </xf>
    <xf numFmtId="0" fontId="155" fillId="27" borderId="137" xfId="71" applyFont="1" applyFill="1" applyBorder="1" applyAlignment="1" applyProtection="1">
      <alignment horizontal="left" vertical="top" wrapText="1"/>
      <protection locked="0"/>
    </xf>
    <xf numFmtId="0" fontId="129" fillId="2" borderId="16" xfId="21" applyNumberFormat="1" applyFont="1" applyFill="1" applyBorder="1" applyAlignment="1" applyProtection="1">
      <alignment horizontal="center" vertical="center"/>
    </xf>
    <xf numFmtId="0" fontId="129" fillId="2" borderId="347" xfId="21" applyNumberFormat="1" applyFont="1" applyFill="1" applyBorder="1" applyAlignment="1" applyProtection="1">
      <alignment horizontal="center" vertical="center"/>
    </xf>
    <xf numFmtId="0" fontId="129" fillId="2" borderId="15" xfId="21" applyNumberFormat="1" applyFont="1" applyFill="1" applyBorder="1" applyAlignment="1" applyProtection="1">
      <alignment horizontal="center" vertical="center"/>
    </xf>
    <xf numFmtId="2" fontId="179" fillId="2" borderId="16" xfId="21" applyNumberFormat="1" applyFont="1" applyFill="1" applyBorder="1" applyAlignment="1" applyProtection="1">
      <alignment horizontal="center" vertical="center"/>
    </xf>
    <xf numFmtId="2" fontId="179" fillId="2" borderId="347" xfId="21" applyNumberFormat="1" applyFont="1" applyFill="1" applyBorder="1" applyAlignment="1" applyProtection="1">
      <alignment horizontal="center" vertical="center"/>
    </xf>
    <xf numFmtId="1" fontId="129" fillId="2" borderId="347" xfId="21" applyNumberFormat="1" applyFont="1" applyFill="1" applyBorder="1" applyAlignment="1" applyProtection="1">
      <alignment horizontal="center" vertical="center"/>
    </xf>
    <xf numFmtId="1" fontId="129" fillId="2" borderId="15" xfId="21" applyNumberFormat="1" applyFont="1" applyFill="1" applyBorder="1" applyAlignment="1" applyProtection="1">
      <alignment horizontal="center" vertical="center"/>
    </xf>
    <xf numFmtId="1" fontId="129" fillId="2" borderId="16" xfId="21" applyNumberFormat="1" applyFont="1" applyFill="1" applyBorder="1" applyAlignment="1" applyProtection="1">
      <alignment horizontal="center" vertical="center"/>
    </xf>
    <xf numFmtId="167" fontId="155" fillId="2" borderId="347" xfId="21" applyNumberFormat="1" applyFont="1" applyFill="1" applyBorder="1" applyAlignment="1" applyProtection="1">
      <alignment horizontal="center" vertical="center"/>
    </xf>
    <xf numFmtId="167" fontId="155" fillId="2" borderId="100" xfId="21" applyNumberFormat="1" applyFont="1" applyFill="1" applyBorder="1" applyAlignment="1" applyProtection="1">
      <alignment horizontal="center" vertical="center"/>
    </xf>
    <xf numFmtId="1" fontId="2" fillId="2" borderId="138" xfId="21" applyNumberFormat="1" applyFont="1" applyFill="1" applyBorder="1" applyAlignment="1" applyProtection="1">
      <alignment horizontal="center" vertical="center"/>
    </xf>
    <xf numFmtId="1" fontId="2" fillId="2" borderId="347" xfId="21" applyNumberFormat="1" applyFont="1" applyFill="1" applyBorder="1" applyAlignment="1" applyProtection="1">
      <alignment horizontal="center" vertical="center"/>
    </xf>
    <xf numFmtId="1" fontId="2" fillId="2" borderId="15" xfId="21" applyNumberFormat="1" applyFont="1" applyFill="1" applyBorder="1" applyAlignment="1" applyProtection="1">
      <alignment horizontal="center" vertical="center"/>
    </xf>
    <xf numFmtId="0" fontId="129" fillId="2" borderId="20" xfId="21" applyNumberFormat="1" applyFont="1" applyFill="1" applyBorder="1" applyAlignment="1" applyProtection="1">
      <alignment horizontal="center" vertical="center"/>
    </xf>
    <xf numFmtId="0" fontId="129" fillId="2" borderId="0" xfId="21" applyNumberFormat="1" applyFont="1" applyFill="1" applyBorder="1" applyAlignment="1" applyProtection="1">
      <alignment horizontal="center" vertical="center"/>
    </xf>
    <xf numFmtId="0" fontId="129" fillId="2" borderId="19" xfId="21" applyNumberFormat="1" applyFont="1" applyFill="1" applyBorder="1" applyAlignment="1" applyProtection="1">
      <alignment horizontal="center" vertical="center"/>
    </xf>
    <xf numFmtId="2" fontId="179" fillId="2" borderId="20" xfId="21" applyNumberFormat="1" applyFont="1" applyFill="1" applyBorder="1" applyAlignment="1" applyProtection="1">
      <alignment horizontal="center" vertical="center"/>
    </xf>
    <xf numFmtId="2" fontId="179" fillId="2" borderId="0" xfId="21" applyNumberFormat="1" applyFont="1" applyFill="1" applyBorder="1" applyAlignment="1" applyProtection="1">
      <alignment horizontal="center" vertical="center"/>
    </xf>
    <xf numFmtId="1" fontId="129" fillId="2" borderId="0" xfId="21" applyNumberFormat="1" applyFont="1" applyFill="1" applyBorder="1" applyAlignment="1" applyProtection="1">
      <alignment horizontal="center" vertical="center"/>
    </xf>
    <xf numFmtId="1" fontId="129" fillId="2" borderId="19" xfId="21" applyNumberFormat="1" applyFont="1" applyFill="1" applyBorder="1" applyAlignment="1" applyProtection="1">
      <alignment horizontal="center" vertical="center"/>
    </xf>
    <xf numFmtId="1" fontId="129" fillId="2" borderId="20" xfId="21" applyNumberFormat="1" applyFont="1" applyFill="1" applyBorder="1" applyAlignment="1" applyProtection="1">
      <alignment horizontal="center" vertical="center"/>
    </xf>
    <xf numFmtId="167" fontId="155" fillId="2" borderId="0" xfId="21" applyNumberFormat="1" applyFont="1" applyFill="1" applyBorder="1" applyAlignment="1" applyProtection="1">
      <alignment horizontal="center" vertical="center"/>
    </xf>
    <xf numFmtId="167" fontId="155" fillId="2" borderId="38" xfId="21" applyNumberFormat="1" applyFont="1" applyFill="1" applyBorder="1" applyAlignment="1" applyProtection="1">
      <alignment horizontal="center" vertical="center"/>
    </xf>
    <xf numFmtId="1" fontId="2" fillId="2" borderId="37" xfId="21" applyNumberFormat="1" applyFont="1" applyFill="1" applyBorder="1" applyAlignment="1" applyProtection="1">
      <alignment horizontal="center" vertical="center"/>
    </xf>
    <xf numFmtId="1" fontId="2" fillId="2" borderId="0" xfId="21" applyNumberFormat="1" applyFont="1" applyFill="1" applyBorder="1" applyAlignment="1" applyProtection="1">
      <alignment horizontal="center" vertical="center"/>
    </xf>
    <xf numFmtId="1" fontId="2" fillId="2" borderId="19" xfId="21" applyNumberFormat="1" applyFont="1" applyFill="1" applyBorder="1" applyAlignment="1" applyProtection="1">
      <alignment horizontal="center" vertical="center"/>
    </xf>
    <xf numFmtId="0" fontId="43" fillId="25" borderId="35" xfId="21" applyFont="1" applyFill="1" applyBorder="1" applyAlignment="1" applyProtection="1">
      <alignment horizontal="center" vertical="center"/>
    </xf>
    <xf numFmtId="0" fontId="43" fillId="25" borderId="137" xfId="21" applyFont="1" applyFill="1" applyBorder="1" applyAlignment="1" applyProtection="1">
      <alignment horizontal="center" vertical="center"/>
    </xf>
    <xf numFmtId="0" fontId="43" fillId="25" borderId="180" xfId="21" applyFont="1" applyFill="1" applyBorder="1" applyAlignment="1" applyProtection="1">
      <alignment horizontal="center" vertical="center"/>
    </xf>
    <xf numFmtId="0" fontId="43" fillId="25" borderId="181" xfId="21" applyFont="1" applyFill="1" applyBorder="1" applyAlignment="1" applyProtection="1">
      <alignment horizontal="center" vertical="center"/>
    </xf>
    <xf numFmtId="0" fontId="43" fillId="25" borderId="182" xfId="21" applyFont="1" applyFill="1" applyBorder="1" applyAlignment="1" applyProtection="1">
      <alignment horizontal="center" vertical="center"/>
    </xf>
    <xf numFmtId="0" fontId="43" fillId="25" borderId="20" xfId="21" applyFont="1" applyFill="1" applyBorder="1" applyAlignment="1" applyProtection="1">
      <alignment horizontal="center" vertical="center" wrapText="1"/>
    </xf>
    <xf numFmtId="0" fontId="43" fillId="25" borderId="0" xfId="21" applyFont="1" applyFill="1" applyBorder="1" applyAlignment="1" applyProtection="1">
      <alignment horizontal="center" vertical="center" wrapText="1"/>
    </xf>
    <xf numFmtId="0" fontId="43" fillId="25" borderId="38" xfId="21" applyFont="1" applyFill="1" applyBorder="1" applyAlignment="1" applyProtection="1">
      <alignment horizontal="center" vertical="center" wrapText="1"/>
    </xf>
    <xf numFmtId="0" fontId="43" fillId="25" borderId="39" xfId="21" applyFont="1" applyFill="1" applyBorder="1" applyAlignment="1" applyProtection="1">
      <alignment horizontal="center" vertical="center" wrapText="1"/>
    </xf>
    <xf numFmtId="0" fontId="43" fillId="25" borderId="40" xfId="21" applyFont="1" applyFill="1" applyBorder="1" applyAlignment="1" applyProtection="1">
      <alignment horizontal="center" vertical="center" wrapText="1"/>
    </xf>
    <xf numFmtId="0" fontId="43" fillId="25" borderId="41" xfId="21" applyFont="1" applyFill="1" applyBorder="1" applyAlignment="1" applyProtection="1">
      <alignment horizontal="center" vertical="center" wrapText="1"/>
    </xf>
    <xf numFmtId="0" fontId="43" fillId="25" borderId="37" xfId="21" applyFont="1" applyFill="1" applyBorder="1" applyAlignment="1" applyProtection="1">
      <alignment horizontal="center" vertical="center" wrapText="1"/>
    </xf>
    <xf numFmtId="0" fontId="43" fillId="25" borderId="155" xfId="21" applyFont="1" applyFill="1" applyBorder="1" applyAlignment="1" applyProtection="1">
      <alignment horizontal="center" vertical="center" wrapText="1"/>
    </xf>
    <xf numFmtId="0" fontId="129" fillId="2" borderId="14" xfId="21" applyNumberFormat="1" applyFont="1" applyFill="1" applyBorder="1" applyAlignment="1" applyProtection="1">
      <alignment horizontal="center" vertical="center"/>
    </xf>
    <xf numFmtId="0" fontId="129" fillId="2" borderId="13" xfId="21" applyNumberFormat="1" applyFont="1" applyFill="1" applyBorder="1" applyAlignment="1" applyProtection="1">
      <alignment horizontal="center" vertical="center"/>
    </xf>
    <xf numFmtId="0" fontId="129" fillId="2" borderId="18" xfId="21" applyNumberFormat="1" applyFont="1" applyFill="1" applyBorder="1" applyAlignment="1" applyProtection="1">
      <alignment horizontal="center" vertical="center"/>
    </xf>
    <xf numFmtId="2" fontId="179" fillId="2" borderId="14" xfId="21" applyNumberFormat="1" applyFont="1" applyFill="1" applyBorder="1" applyAlignment="1" applyProtection="1">
      <alignment horizontal="center" vertical="center"/>
    </xf>
    <xf numFmtId="2" fontId="179" fillId="2" borderId="13" xfId="21" applyNumberFormat="1" applyFont="1" applyFill="1" applyBorder="1" applyAlignment="1" applyProtection="1">
      <alignment horizontal="center" vertical="center"/>
    </xf>
    <xf numFmtId="1" fontId="129" fillId="2" borderId="14" xfId="21" applyNumberFormat="1" applyFont="1" applyFill="1" applyBorder="1" applyAlignment="1" applyProtection="1">
      <alignment horizontal="center" vertical="center"/>
    </xf>
    <xf numFmtId="1" fontId="129" fillId="2" borderId="13" xfId="21" applyNumberFormat="1" applyFont="1" applyFill="1" applyBorder="1" applyAlignment="1" applyProtection="1">
      <alignment horizontal="center" vertical="center"/>
    </xf>
    <xf numFmtId="1" fontId="129" fillId="2" borderId="18" xfId="21" applyNumberFormat="1" applyFont="1" applyFill="1" applyBorder="1" applyAlignment="1" applyProtection="1">
      <alignment horizontal="center" vertical="center"/>
    </xf>
    <xf numFmtId="167" fontId="155" fillId="2" borderId="13" xfId="21" applyNumberFormat="1" applyFont="1" applyFill="1" applyBorder="1" applyAlignment="1" applyProtection="1">
      <alignment horizontal="center" vertical="center"/>
    </xf>
    <xf numFmtId="167" fontId="155" fillId="2" borderId="105" xfId="21" applyNumberFormat="1" applyFont="1" applyFill="1" applyBorder="1" applyAlignment="1" applyProtection="1">
      <alignment horizontal="center" vertical="center"/>
    </xf>
    <xf numFmtId="1" fontId="2" fillId="2" borderId="109" xfId="21" applyNumberFormat="1" applyFont="1" applyFill="1" applyBorder="1" applyAlignment="1" applyProtection="1">
      <alignment horizontal="center" vertical="center"/>
    </xf>
    <xf numFmtId="1" fontId="2" fillId="2" borderId="13" xfId="21" applyNumberFormat="1" applyFont="1" applyFill="1" applyBorder="1" applyAlignment="1" applyProtection="1">
      <alignment horizontal="center" vertical="center"/>
    </xf>
    <xf numFmtId="167" fontId="4" fillId="2" borderId="11" xfId="21" applyNumberFormat="1" applyFont="1" applyFill="1" applyBorder="1" applyAlignment="1" applyProtection="1">
      <alignment horizontal="center" vertical="center"/>
    </xf>
    <xf numFmtId="167" fontId="4" fillId="2" borderId="10" xfId="21" applyNumberFormat="1" applyFont="1" applyFill="1" applyBorder="1" applyAlignment="1" applyProtection="1">
      <alignment horizontal="center" vertical="center"/>
    </xf>
    <xf numFmtId="0" fontId="132" fillId="0" borderId="11" xfId="0" applyFont="1" applyBorder="1" applyAlignment="1" applyProtection="1">
      <alignment horizontal="center"/>
    </xf>
    <xf numFmtId="0" fontId="132" fillId="0" borderId="10" xfId="0" applyFont="1" applyBorder="1" applyAlignment="1" applyProtection="1">
      <alignment horizontal="center"/>
    </xf>
    <xf numFmtId="0" fontId="2" fillId="2" borderId="12" xfId="21" applyFont="1" applyFill="1" applyBorder="1" applyAlignment="1" applyProtection="1">
      <alignment horizontal="left" vertical="center"/>
    </xf>
    <xf numFmtId="0" fontId="2" fillId="2" borderId="11" xfId="21" applyFont="1" applyFill="1" applyBorder="1" applyAlignment="1" applyProtection="1">
      <alignment horizontal="left" vertical="center"/>
    </xf>
    <xf numFmtId="1" fontId="12" fillId="2" borderId="12" xfId="21" applyNumberFormat="1" applyFont="1" applyFill="1" applyBorder="1" applyAlignment="1" applyProtection="1">
      <alignment horizontal="center" vertical="center"/>
    </xf>
    <xf numFmtId="1" fontId="12" fillId="2" borderId="11" xfId="21" applyNumberFormat="1" applyFont="1" applyFill="1" applyBorder="1" applyAlignment="1" applyProtection="1">
      <alignment horizontal="center" vertical="center"/>
    </xf>
    <xf numFmtId="1" fontId="12" fillId="2" borderId="13" xfId="21" applyNumberFormat="1" applyFont="1" applyFill="1" applyBorder="1" applyAlignment="1" applyProtection="1">
      <alignment horizontal="center" vertical="center"/>
    </xf>
    <xf numFmtId="1" fontId="12" fillId="2" borderId="10" xfId="21" applyNumberFormat="1" applyFont="1" applyFill="1" applyBorder="1" applyAlignment="1" applyProtection="1">
      <alignment horizontal="center" vertical="center"/>
    </xf>
    <xf numFmtId="0" fontId="178" fillId="28" borderId="0" xfId="21" applyFont="1" applyFill="1" applyBorder="1" applyAlignment="1" applyProtection="1">
      <alignment horizontal="center"/>
    </xf>
    <xf numFmtId="0" fontId="7" fillId="0" borderId="14" xfId="0" applyFont="1" applyFill="1" applyBorder="1" applyAlignment="1" applyProtection="1">
      <alignment horizontal="center"/>
    </xf>
    <xf numFmtId="0" fontId="7" fillId="0" borderId="13"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20"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16" xfId="0" applyFont="1" applyFill="1" applyBorder="1" applyAlignment="1" applyProtection="1">
      <alignment horizontal="center"/>
    </xf>
    <xf numFmtId="0" fontId="7" fillId="0" borderId="347" xfId="0" applyFont="1" applyFill="1" applyBorder="1" applyAlignment="1" applyProtection="1">
      <alignment horizontal="center"/>
    </xf>
    <xf numFmtId="0" fontId="7" fillId="0" borderId="15" xfId="0" applyFont="1" applyFill="1" applyBorder="1" applyAlignment="1" applyProtection="1">
      <alignment horizontal="center"/>
    </xf>
    <xf numFmtId="0" fontId="5" fillId="2" borderId="14" xfId="0" applyFont="1" applyFill="1" applyBorder="1" applyAlignment="1" applyProtection="1">
      <alignment horizontal="center" vertical="center"/>
    </xf>
    <xf numFmtId="0" fontId="5" fillId="2" borderId="13" xfId="0" applyFont="1" applyFill="1" applyBorder="1" applyAlignment="1" applyProtection="1">
      <alignment horizontal="center" vertical="center"/>
    </xf>
    <xf numFmtId="0" fontId="5" fillId="2" borderId="18" xfId="0" applyFont="1" applyFill="1" applyBorder="1" applyAlignment="1" applyProtection="1">
      <alignment horizontal="center" vertical="center"/>
    </xf>
    <xf numFmtId="0" fontId="5" fillId="2" borderId="2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19" xfId="0" applyFont="1" applyFill="1" applyBorder="1" applyAlignment="1" applyProtection="1">
      <alignment horizontal="center" vertical="center" wrapText="1"/>
    </xf>
    <xf numFmtId="0" fontId="5" fillId="2" borderId="154" xfId="0" applyFont="1" applyFill="1" applyBorder="1" applyAlignment="1" applyProtection="1">
      <alignment horizontal="center" vertical="center"/>
    </xf>
    <xf numFmtId="0" fontId="5" fillId="2" borderId="40" xfId="0" applyFont="1" applyFill="1" applyBorder="1" applyAlignment="1" applyProtection="1">
      <alignment horizontal="center" vertical="center"/>
    </xf>
    <xf numFmtId="0" fontId="5" fillId="2" borderId="155" xfId="0" applyFont="1" applyFill="1" applyBorder="1" applyAlignment="1" applyProtection="1">
      <alignment horizontal="center" vertical="center"/>
    </xf>
    <xf numFmtId="0" fontId="140" fillId="27" borderId="221" xfId="0" applyFont="1" applyFill="1" applyBorder="1" applyAlignment="1" applyProtection="1">
      <alignment horizontal="left" vertical="center" wrapText="1"/>
    </xf>
    <xf numFmtId="0" fontId="140" fillId="27" borderId="42" xfId="0" applyFont="1" applyFill="1" applyBorder="1" applyAlignment="1" applyProtection="1">
      <alignment horizontal="left" vertical="center" wrapText="1"/>
    </xf>
    <xf numFmtId="0" fontId="140" fillId="27" borderId="43" xfId="0" applyFont="1" applyFill="1" applyBorder="1" applyAlignment="1" applyProtection="1">
      <alignment horizontal="left" vertical="center" wrapText="1"/>
    </xf>
    <xf numFmtId="0" fontId="140" fillId="2" borderId="32" xfId="0" applyFont="1" applyFill="1" applyBorder="1" applyAlignment="1" applyProtection="1">
      <alignment horizontal="left" vertical="center" wrapText="1"/>
    </xf>
    <xf numFmtId="0" fontId="140" fillId="2" borderId="42" xfId="0" applyFont="1" applyFill="1" applyBorder="1" applyAlignment="1" applyProtection="1">
      <alignment horizontal="left" vertical="center" wrapText="1"/>
    </xf>
    <xf numFmtId="0" fontId="140" fillId="2" borderId="226" xfId="0" applyFont="1" applyFill="1" applyBorder="1" applyAlignment="1" applyProtection="1">
      <alignment horizontal="left" vertical="center" wrapText="1"/>
    </xf>
    <xf numFmtId="0" fontId="140" fillId="2" borderId="221" xfId="21" applyFont="1" applyFill="1" applyBorder="1" applyAlignment="1" applyProtection="1">
      <alignment horizontal="left" vertical="center"/>
    </xf>
    <xf numFmtId="0" fontId="140" fillId="2" borderId="42" xfId="21" applyFont="1" applyFill="1" applyBorder="1" applyAlignment="1" applyProtection="1">
      <alignment horizontal="left" vertical="center"/>
    </xf>
    <xf numFmtId="0" fontId="140" fillId="2" borderId="226" xfId="21" applyFont="1" applyFill="1" applyBorder="1" applyAlignment="1" applyProtection="1">
      <alignment horizontal="left" vertical="center"/>
    </xf>
    <xf numFmtId="168" fontId="2" fillId="27" borderId="0" xfId="0" applyNumberFormat="1" applyFont="1" applyFill="1" applyBorder="1" applyAlignment="1" applyProtection="1">
      <alignment horizontal="left" vertical="center" wrapText="1"/>
      <protection locked="0"/>
    </xf>
    <xf numFmtId="168" fontId="2" fillId="27" borderId="19" xfId="0" applyNumberFormat="1" applyFont="1" applyFill="1" applyBorder="1" applyAlignment="1" applyProtection="1">
      <alignment horizontal="left" vertical="center" wrapText="1"/>
      <protection locked="0"/>
    </xf>
    <xf numFmtId="0" fontId="5" fillId="27" borderId="35" xfId="0" applyFont="1" applyFill="1" applyBorder="1" applyAlignment="1" applyProtection="1">
      <alignment horizontal="left" vertical="center"/>
    </xf>
    <xf numFmtId="0" fontId="2" fillId="27" borderId="35" xfId="544" applyFont="1" applyFill="1" applyBorder="1" applyAlignment="1" applyProtection="1">
      <alignment horizontal="left" vertical="center"/>
      <protection locked="0"/>
    </xf>
    <xf numFmtId="0" fontId="2" fillId="27" borderId="137" xfId="544" applyFont="1" applyFill="1" applyBorder="1" applyAlignment="1" applyProtection="1">
      <alignment horizontal="left" vertical="center"/>
      <protection locked="0"/>
    </xf>
    <xf numFmtId="2" fontId="39" fillId="2" borderId="0" xfId="21" applyNumberFormat="1" applyFont="1" applyFill="1" applyAlignment="1" applyProtection="1">
      <alignment horizontal="center"/>
      <protection locked="0"/>
    </xf>
    <xf numFmtId="0" fontId="176" fillId="2" borderId="12" xfId="21" applyFont="1" applyFill="1" applyBorder="1" applyAlignment="1" applyProtection="1">
      <alignment horizontal="center" vertical="center"/>
    </xf>
    <xf numFmtId="0" fontId="176" fillId="2" borderId="11" xfId="21" applyFont="1" applyFill="1" applyBorder="1" applyAlignment="1" applyProtection="1">
      <alignment horizontal="center" vertical="center"/>
    </xf>
    <xf numFmtId="0" fontId="176" fillId="2" borderId="13" xfId="21" applyFont="1" applyFill="1" applyBorder="1" applyAlignment="1" applyProtection="1">
      <alignment horizontal="center" vertical="center"/>
    </xf>
    <xf numFmtId="0" fontId="176" fillId="2" borderId="10" xfId="21" applyFont="1" applyFill="1" applyBorder="1" applyAlignment="1" applyProtection="1">
      <alignment horizontal="center" vertical="center"/>
    </xf>
    <xf numFmtId="0" fontId="43" fillId="25" borderId="208" xfId="21" applyFont="1" applyFill="1" applyBorder="1" applyAlignment="1" applyProtection="1">
      <alignment horizontal="center" vertical="center" wrapText="1"/>
    </xf>
    <xf numFmtId="0" fontId="43" fillId="25" borderId="191" xfId="21" applyFont="1" applyFill="1" applyBorder="1" applyAlignment="1" applyProtection="1">
      <alignment horizontal="center" vertical="center" wrapText="1"/>
    </xf>
    <xf numFmtId="0" fontId="43" fillId="25" borderId="192" xfId="21" applyFont="1" applyFill="1" applyBorder="1" applyAlignment="1" applyProtection="1">
      <alignment horizontal="center" vertical="center" wrapText="1"/>
    </xf>
    <xf numFmtId="0" fontId="43" fillId="25" borderId="162" xfId="21" applyFont="1" applyFill="1" applyBorder="1" applyAlignment="1" applyProtection="1">
      <alignment horizontal="center" vertical="center"/>
    </xf>
    <xf numFmtId="0" fontId="43" fillId="25" borderId="161" xfId="21" applyFont="1" applyFill="1" applyBorder="1" applyAlignment="1" applyProtection="1">
      <alignment horizontal="center" vertical="center"/>
    </xf>
    <xf numFmtId="0" fontId="43" fillId="25" borderId="163" xfId="21" applyFont="1" applyFill="1" applyBorder="1" applyAlignment="1" applyProtection="1">
      <alignment horizontal="center" vertical="center"/>
    </xf>
    <xf numFmtId="0" fontId="43" fillId="25" borderId="34" xfId="21" applyFont="1" applyFill="1" applyBorder="1" applyAlignment="1" applyProtection="1">
      <alignment horizontal="center" vertical="center" wrapText="1"/>
    </xf>
    <xf numFmtId="0" fontId="43" fillId="25" borderId="35" xfId="21" applyFont="1" applyFill="1" applyBorder="1" applyAlignment="1" applyProtection="1">
      <alignment horizontal="center" vertical="center" wrapText="1"/>
    </xf>
    <xf numFmtId="0" fontId="43" fillId="25" borderId="36" xfId="21" applyFont="1" applyFill="1" applyBorder="1" applyAlignment="1" applyProtection="1">
      <alignment horizontal="center" vertical="center" wrapText="1"/>
    </xf>
    <xf numFmtId="0" fontId="129" fillId="0" borderId="172" xfId="72" applyFont="1" applyBorder="1" applyAlignment="1" applyProtection="1">
      <alignment horizontal="center" vertical="center"/>
      <protection locked="0"/>
    </xf>
    <xf numFmtId="0" fontId="129" fillId="0" borderId="173" xfId="72" applyFont="1" applyBorder="1" applyAlignment="1" applyProtection="1">
      <alignment horizontal="center" vertical="center"/>
      <protection locked="0"/>
    </xf>
    <xf numFmtId="0" fontId="129" fillId="0" borderId="174" xfId="72" applyFont="1" applyBorder="1" applyAlignment="1" applyProtection="1">
      <alignment horizontal="center" vertical="center"/>
      <protection locked="0"/>
    </xf>
    <xf numFmtId="0" fontId="2" fillId="27" borderId="0" xfId="72" applyFont="1" applyFill="1" applyBorder="1" applyAlignment="1" applyProtection="1">
      <alignment horizontal="left" vertical="center"/>
    </xf>
    <xf numFmtId="168" fontId="2" fillId="2" borderId="0" xfId="72" applyNumberFormat="1" applyFont="1" applyFill="1" applyBorder="1" applyAlignment="1" applyProtection="1">
      <alignment horizontal="left" vertical="center"/>
    </xf>
    <xf numFmtId="168" fontId="2" fillId="2" borderId="19" xfId="72" applyNumberFormat="1" applyFont="1" applyFill="1" applyBorder="1" applyAlignment="1" applyProtection="1">
      <alignment horizontal="left" vertical="center"/>
    </xf>
    <xf numFmtId="0" fontId="129" fillId="0" borderId="180" xfId="72" applyFont="1" applyBorder="1" applyAlignment="1" applyProtection="1">
      <alignment horizontal="center" vertical="center"/>
      <protection locked="0"/>
    </xf>
    <xf numFmtId="0" fontId="129" fillId="0" borderId="181" xfId="72" applyFont="1" applyBorder="1" applyAlignment="1" applyProtection="1">
      <alignment horizontal="center" vertical="center"/>
      <protection locked="0"/>
    </xf>
    <xf numFmtId="0" fontId="129" fillId="0" borderId="182" xfId="72" applyFont="1" applyBorder="1" applyAlignment="1" applyProtection="1">
      <alignment horizontal="center" vertical="center"/>
      <protection locked="0"/>
    </xf>
    <xf numFmtId="0" fontId="134" fillId="0" borderId="180" xfId="72" applyFont="1" applyBorder="1" applyAlignment="1" applyProtection="1">
      <alignment horizontal="center" vertical="center"/>
      <protection locked="0"/>
    </xf>
    <xf numFmtId="0" fontId="134" fillId="0" borderId="181" xfId="72" applyFont="1" applyBorder="1" applyAlignment="1" applyProtection="1">
      <alignment horizontal="center" vertical="center"/>
      <protection locked="0"/>
    </xf>
    <xf numFmtId="0" fontId="134" fillId="0" borderId="182" xfId="72" applyFont="1" applyBorder="1" applyAlignment="1" applyProtection="1">
      <alignment horizontal="center" vertical="center"/>
      <protection locked="0"/>
    </xf>
    <xf numFmtId="0" fontId="5" fillId="25" borderId="16" xfId="72" applyFont="1" applyFill="1" applyBorder="1" applyAlignment="1" applyProtection="1">
      <alignment horizontal="center" vertical="center"/>
    </xf>
    <xf numFmtId="0" fontId="5" fillId="25" borderId="17" xfId="72" applyFont="1" applyFill="1" applyBorder="1" applyAlignment="1" applyProtection="1">
      <alignment horizontal="center" vertical="center"/>
    </xf>
    <xf numFmtId="0" fontId="5" fillId="25" borderId="15" xfId="72" applyFont="1" applyFill="1" applyBorder="1" applyAlignment="1" applyProtection="1">
      <alignment horizontal="center" vertical="center"/>
    </xf>
    <xf numFmtId="0" fontId="5" fillId="25" borderId="12" xfId="72" applyFont="1" applyFill="1" applyBorder="1" applyAlignment="1" applyProtection="1">
      <alignment horizontal="center" vertical="center" wrapText="1"/>
    </xf>
    <xf numFmtId="0" fontId="5" fillId="25" borderId="11" xfId="72" applyFont="1" applyFill="1" applyBorder="1" applyAlignment="1" applyProtection="1">
      <alignment horizontal="center" vertical="center" wrapText="1"/>
    </xf>
    <xf numFmtId="0" fontId="5" fillId="25" borderId="12" xfId="72" applyFont="1" applyFill="1" applyBorder="1" applyAlignment="1" applyProtection="1">
      <alignment horizontal="center" vertical="center"/>
    </xf>
    <xf numFmtId="0" fontId="5" fillId="25" borderId="11" xfId="72" applyFont="1" applyFill="1" applyBorder="1" applyAlignment="1" applyProtection="1">
      <alignment horizontal="center" vertical="center"/>
    </xf>
    <xf numFmtId="0" fontId="5" fillId="25" borderId="10" xfId="72" applyFont="1" applyFill="1" applyBorder="1" applyAlignment="1" applyProtection="1">
      <alignment horizontal="center" vertical="center"/>
    </xf>
    <xf numFmtId="0" fontId="5" fillId="25" borderId="14" xfId="72" applyFont="1" applyFill="1" applyBorder="1" applyAlignment="1" applyProtection="1">
      <alignment horizontal="center" vertical="center"/>
    </xf>
    <xf numFmtId="0" fontId="5" fillId="25" borderId="13" xfId="72" applyFont="1" applyFill="1" applyBorder="1" applyAlignment="1" applyProtection="1">
      <alignment horizontal="center" vertical="center"/>
    </xf>
    <xf numFmtId="0" fontId="5" fillId="25" borderId="18" xfId="72" applyFont="1" applyFill="1" applyBorder="1" applyAlignment="1" applyProtection="1">
      <alignment horizontal="center" vertical="center"/>
    </xf>
    <xf numFmtId="0" fontId="2" fillId="0" borderId="172" xfId="72" applyFont="1" applyBorder="1" applyAlignment="1" applyProtection="1">
      <alignment horizontal="left" vertical="center"/>
    </xf>
    <xf numFmtId="0" fontId="2" fillId="0" borderId="173" xfId="72" applyFont="1" applyBorder="1" applyAlignment="1" applyProtection="1">
      <alignment horizontal="left" vertical="center"/>
    </xf>
    <xf numFmtId="0" fontId="45" fillId="25" borderId="46" xfId="68" applyFont="1" applyFill="1" applyBorder="1" applyAlignment="1" applyProtection="1">
      <alignment horizontal="center" vertical="center"/>
    </xf>
    <xf numFmtId="0" fontId="47" fillId="0" borderId="44" xfId="69" applyFont="1" applyBorder="1" applyAlignment="1" applyProtection="1">
      <alignment horizontal="center" wrapText="1"/>
    </xf>
    <xf numFmtId="0" fontId="47" fillId="27" borderId="0" xfId="70" applyFont="1" applyFill="1" applyBorder="1" applyAlignment="1" applyProtection="1">
      <alignment horizontal="center" vertical="center" wrapText="1"/>
    </xf>
    <xf numFmtId="0" fontId="129" fillId="0" borderId="14" xfId="72" applyFont="1" applyBorder="1" applyAlignment="1" applyProtection="1">
      <alignment horizontal="left" vertical="center"/>
    </xf>
    <xf numFmtId="0" fontId="129" fillId="0" borderId="13" xfId="72" applyFont="1" applyBorder="1" applyAlignment="1" applyProtection="1">
      <alignment horizontal="left" vertical="center"/>
    </xf>
    <xf numFmtId="0" fontId="129" fillId="0" borderId="18" xfId="72" applyFont="1" applyBorder="1" applyAlignment="1" applyProtection="1">
      <alignment horizontal="left" vertical="center"/>
    </xf>
    <xf numFmtId="0" fontId="132" fillId="0" borderId="16" xfId="73" applyFont="1" applyBorder="1" applyAlignment="1" applyProtection="1">
      <alignment horizontal="left" vertical="top"/>
      <protection locked="0"/>
    </xf>
    <xf numFmtId="0" fontId="132" fillId="0" borderId="17" xfId="73" applyFont="1" applyBorder="1" applyAlignment="1" applyProtection="1">
      <alignment horizontal="left" vertical="top"/>
      <protection locked="0"/>
    </xf>
    <xf numFmtId="0" fontId="132" fillId="0" borderId="15" xfId="73" applyFont="1" applyBorder="1" applyAlignment="1" applyProtection="1">
      <alignment horizontal="left" vertical="top"/>
      <protection locked="0"/>
    </xf>
    <xf numFmtId="0" fontId="5" fillId="25" borderId="37" xfId="68" applyFont="1" applyFill="1" applyBorder="1" applyAlignment="1" applyProtection="1">
      <alignment horizontal="center" vertical="center"/>
      <protection locked="0"/>
    </xf>
    <xf numFmtId="0" fontId="5" fillId="25" borderId="0" xfId="68" applyFont="1" applyFill="1" applyBorder="1" applyAlignment="1" applyProtection="1">
      <alignment horizontal="center" vertical="center"/>
      <protection locked="0"/>
    </xf>
    <xf numFmtId="0" fontId="5" fillId="25" borderId="38" xfId="68" applyFont="1" applyFill="1" applyBorder="1" applyAlignment="1" applyProtection="1">
      <alignment horizontal="center" vertical="center"/>
      <protection locked="0"/>
    </xf>
    <xf numFmtId="0" fontId="5" fillId="25" borderId="20" xfId="68" applyFont="1" applyFill="1" applyBorder="1" applyAlignment="1" applyProtection="1">
      <alignment horizontal="center" vertical="center"/>
    </xf>
    <xf numFmtId="0" fontId="5" fillId="25" borderId="19" xfId="68" applyFont="1" applyFill="1" applyBorder="1" applyAlignment="1" applyProtection="1">
      <alignment horizontal="center" vertical="center"/>
    </xf>
    <xf numFmtId="0" fontId="4" fillId="27" borderId="20" xfId="71" applyFont="1" applyFill="1" applyBorder="1" applyAlignment="1" applyProtection="1">
      <alignment horizontal="center" vertical="center"/>
      <protection locked="0"/>
    </xf>
    <xf numFmtId="0" fontId="4" fillId="27" borderId="19" xfId="71" applyFont="1" applyFill="1" applyBorder="1" applyAlignment="1" applyProtection="1">
      <alignment horizontal="center" vertical="center"/>
      <protection locked="0"/>
    </xf>
    <xf numFmtId="0" fontId="4" fillId="27" borderId="60" xfId="71" applyFont="1" applyFill="1" applyBorder="1" applyAlignment="1" applyProtection="1">
      <alignment horizontal="center" vertical="center"/>
    </xf>
    <xf numFmtId="0" fontId="4" fillId="27" borderId="61" xfId="71" applyFont="1" applyFill="1" applyBorder="1" applyAlignment="1" applyProtection="1">
      <alignment horizontal="center" vertical="center"/>
    </xf>
    <xf numFmtId="0" fontId="4" fillId="27" borderId="62" xfId="71" applyFont="1" applyFill="1" applyBorder="1" applyAlignment="1" applyProtection="1">
      <alignment horizontal="center" vertical="center"/>
    </xf>
    <xf numFmtId="0" fontId="4" fillId="27" borderId="20" xfId="71" applyFont="1" applyFill="1" applyBorder="1" applyAlignment="1" applyProtection="1">
      <alignment horizontal="center"/>
      <protection locked="0"/>
    </xf>
    <xf numFmtId="0" fontId="4" fillId="27" borderId="20" xfId="68" applyFont="1" applyFill="1" applyBorder="1" applyAlignment="1" applyProtection="1">
      <alignment horizontal="center"/>
      <protection locked="0"/>
    </xf>
    <xf numFmtId="0" fontId="4" fillId="27" borderId="20" xfId="68" applyFont="1" applyFill="1" applyBorder="1" applyAlignment="1" applyProtection="1">
      <alignment horizontal="center" vertical="center"/>
      <protection locked="0"/>
    </xf>
    <xf numFmtId="0" fontId="4" fillId="27" borderId="19" xfId="68" applyFont="1" applyFill="1" applyBorder="1" applyAlignment="1" applyProtection="1">
      <alignment horizontal="center" vertical="center"/>
      <protection locked="0"/>
    </xf>
    <xf numFmtId="0" fontId="4" fillId="27" borderId="60" xfId="68" applyFont="1" applyFill="1" applyBorder="1" applyAlignment="1" applyProtection="1">
      <alignment horizontal="center" vertical="center"/>
    </xf>
    <xf numFmtId="0" fontId="4" fillId="27" borderId="61" xfId="68" applyFont="1" applyFill="1" applyBorder="1" applyAlignment="1" applyProtection="1">
      <alignment horizontal="center" vertical="center"/>
    </xf>
    <xf numFmtId="0" fontId="4" fillId="27" borderId="62" xfId="68" applyFont="1" applyFill="1" applyBorder="1" applyAlignment="1" applyProtection="1">
      <alignment horizontal="center" vertical="center"/>
    </xf>
    <xf numFmtId="0" fontId="5" fillId="25" borderId="37" xfId="68" applyFont="1" applyFill="1" applyBorder="1" applyAlignment="1" applyProtection="1">
      <alignment horizontal="left" vertical="center" indent="2"/>
    </xf>
    <xf numFmtId="0" fontId="5" fillId="25" borderId="0" xfId="68" applyFont="1" applyFill="1" applyBorder="1" applyAlignment="1" applyProtection="1">
      <alignment horizontal="left" vertical="center" indent="2"/>
    </xf>
    <xf numFmtId="0" fontId="5" fillId="25" borderId="38" xfId="68" applyFont="1" applyFill="1" applyBorder="1" applyAlignment="1" applyProtection="1">
      <alignment horizontal="left" vertical="center" indent="2"/>
    </xf>
    <xf numFmtId="0" fontId="5" fillId="25" borderId="47" xfId="68" applyFont="1" applyFill="1" applyBorder="1" applyAlignment="1" applyProtection="1">
      <alignment horizontal="left" vertical="center" indent="2"/>
      <protection locked="0"/>
    </xf>
    <xf numFmtId="0" fontId="5" fillId="25" borderId="46" xfId="68" applyFont="1" applyFill="1" applyBorder="1" applyAlignment="1" applyProtection="1">
      <alignment horizontal="left" vertical="center" indent="2"/>
      <protection locked="0"/>
    </xf>
    <xf numFmtId="0" fontId="5" fillId="25" borderId="48" xfId="68" applyFont="1" applyFill="1" applyBorder="1" applyAlignment="1" applyProtection="1">
      <alignment horizontal="left" vertical="center" indent="2"/>
      <protection locked="0"/>
    </xf>
    <xf numFmtId="0" fontId="129" fillId="0" borderId="172" xfId="72" applyFont="1" applyBorder="1" applyAlignment="1" applyProtection="1">
      <alignment horizontal="center"/>
    </xf>
    <xf numFmtId="0" fontId="129" fillId="0" borderId="173" xfId="72" applyFont="1" applyBorder="1" applyAlignment="1" applyProtection="1">
      <alignment horizontal="center"/>
    </xf>
    <xf numFmtId="0" fontId="129" fillId="0" borderId="177" xfId="72" applyFont="1" applyBorder="1" applyAlignment="1" applyProtection="1">
      <alignment horizontal="center"/>
    </xf>
    <xf numFmtId="0" fontId="129" fillId="0" borderId="174" xfId="72" applyFont="1" applyBorder="1" applyAlignment="1" applyProtection="1">
      <alignment horizontal="center"/>
    </xf>
    <xf numFmtId="0" fontId="129" fillId="0" borderId="16" xfId="72" applyFont="1" applyBorder="1" applyAlignment="1" applyProtection="1">
      <alignment horizontal="center" vertical="center"/>
    </xf>
    <xf numFmtId="0" fontId="129" fillId="0" borderId="17" xfId="72" applyFont="1" applyBorder="1" applyAlignment="1" applyProtection="1">
      <alignment horizontal="center" vertical="center"/>
    </xf>
    <xf numFmtId="0" fontId="129" fillId="0" borderId="15" xfId="72" applyFont="1" applyBorder="1" applyAlignment="1" applyProtection="1">
      <alignment horizontal="center" vertical="center"/>
    </xf>
    <xf numFmtId="0" fontId="129" fillId="0" borderId="172" xfId="72" applyFont="1" applyBorder="1" applyAlignment="1" applyProtection="1">
      <alignment horizontal="center" vertical="center"/>
    </xf>
    <xf numFmtId="0" fontId="129" fillId="0" borderId="173" xfId="72" applyFont="1" applyBorder="1" applyAlignment="1" applyProtection="1">
      <alignment horizontal="center" vertical="center"/>
    </xf>
    <xf numFmtId="0" fontId="129" fillId="0" borderId="174" xfId="72" applyFont="1" applyBorder="1" applyAlignment="1" applyProtection="1">
      <alignment horizontal="center" vertical="center"/>
    </xf>
    <xf numFmtId="0" fontId="129" fillId="0" borderId="180" xfId="72" applyFont="1" applyBorder="1" applyAlignment="1" applyProtection="1">
      <alignment horizontal="center"/>
    </xf>
    <xf numFmtId="0" fontId="129" fillId="0" borderId="181" xfId="72" applyFont="1" applyBorder="1" applyAlignment="1" applyProtection="1">
      <alignment horizontal="center"/>
    </xf>
    <xf numFmtId="0" fontId="129" fillId="0" borderId="183" xfId="72" applyFont="1" applyBorder="1" applyAlignment="1" applyProtection="1">
      <alignment horizontal="center"/>
    </xf>
    <xf numFmtId="0" fontId="129" fillId="0" borderId="182" xfId="72" applyFont="1" applyBorder="1" applyAlignment="1" applyProtection="1">
      <alignment horizontal="center"/>
    </xf>
    <xf numFmtId="0" fontId="129" fillId="0" borderId="180" xfId="72" applyFont="1" applyBorder="1" applyAlignment="1" applyProtection="1">
      <alignment horizontal="center" vertical="center"/>
    </xf>
    <xf numFmtId="0" fontId="129" fillId="0" borderId="181" xfId="72" applyFont="1" applyBorder="1" applyAlignment="1" applyProtection="1">
      <alignment horizontal="center" vertical="center"/>
    </xf>
    <xf numFmtId="0" fontId="129" fillId="0" borderId="182" xfId="72" applyFont="1" applyBorder="1" applyAlignment="1" applyProtection="1">
      <alignment horizontal="center" vertical="center"/>
    </xf>
    <xf numFmtId="0" fontId="129" fillId="0" borderId="184" xfId="72" applyFont="1" applyBorder="1" applyAlignment="1" applyProtection="1">
      <alignment horizontal="center"/>
    </xf>
    <xf numFmtId="0" fontId="2" fillId="0" borderId="168" xfId="72" applyFont="1" applyBorder="1" applyAlignment="1" applyProtection="1">
      <alignment horizontal="center" vertical="center"/>
      <protection locked="0"/>
    </xf>
    <xf numFmtId="0" fontId="2" fillId="0" borderId="171" xfId="72" applyFont="1" applyBorder="1" applyAlignment="1" applyProtection="1">
      <alignment horizontal="center" vertical="center"/>
      <protection locked="0"/>
    </xf>
    <xf numFmtId="0" fontId="2" fillId="0" borderId="176" xfId="72" applyFont="1" applyBorder="1" applyAlignment="1" applyProtection="1">
      <alignment horizontal="center" vertical="center"/>
      <protection locked="0"/>
    </xf>
    <xf numFmtId="0" fontId="2" fillId="38" borderId="174" xfId="72" applyFont="1" applyFill="1" applyBorder="1" applyAlignment="1" applyProtection="1">
      <alignment horizontal="center" vertical="center"/>
    </xf>
    <xf numFmtId="0" fontId="2" fillId="38" borderId="171" xfId="72" applyFont="1" applyFill="1" applyBorder="1" applyAlignment="1" applyProtection="1">
      <alignment horizontal="center" vertical="center"/>
    </xf>
    <xf numFmtId="0" fontId="2" fillId="0" borderId="63" xfId="72" applyFont="1" applyBorder="1" applyAlignment="1" applyProtection="1">
      <alignment horizontal="center" vertical="center"/>
      <protection locked="0"/>
    </xf>
    <xf numFmtId="0" fontId="2" fillId="0" borderId="179" xfId="72" applyFont="1" applyBorder="1" applyAlignment="1" applyProtection="1">
      <alignment horizontal="center" vertical="center"/>
      <protection locked="0"/>
    </xf>
    <xf numFmtId="0" fontId="2" fillId="0" borderId="19" xfId="72" applyFont="1" applyBorder="1" applyAlignment="1" applyProtection="1">
      <alignment horizontal="center" vertical="center"/>
      <protection locked="0"/>
    </xf>
    <xf numFmtId="0" fontId="43" fillId="25" borderId="171" xfId="72" applyFont="1" applyFill="1" applyBorder="1" applyAlignment="1" applyProtection="1">
      <alignment horizontal="center" vertical="center"/>
    </xf>
    <xf numFmtId="0" fontId="43" fillId="25" borderId="176" xfId="72" applyFont="1" applyFill="1" applyBorder="1" applyAlignment="1" applyProtection="1">
      <alignment horizontal="center" vertical="center"/>
    </xf>
    <xf numFmtId="0" fontId="43" fillId="25" borderId="174" xfId="72" applyFont="1" applyFill="1" applyBorder="1" applyAlignment="1" applyProtection="1">
      <alignment horizontal="center" vertical="center"/>
    </xf>
    <xf numFmtId="0" fontId="2" fillId="0" borderId="174" xfId="72" applyFont="1" applyBorder="1" applyAlignment="1" applyProtection="1">
      <alignment horizontal="center" vertical="center"/>
      <protection locked="0"/>
    </xf>
    <xf numFmtId="0" fontId="2" fillId="0" borderId="171" xfId="72" applyFont="1" applyBorder="1" applyAlignment="1" applyProtection="1">
      <alignment horizontal="center" vertical="center"/>
    </xf>
    <xf numFmtId="0" fontId="1" fillId="0" borderId="14" xfId="72" applyFont="1" applyBorder="1" applyAlignment="1" applyProtection="1">
      <alignment horizontal="center"/>
      <protection locked="0"/>
    </xf>
    <xf numFmtId="0" fontId="1" fillId="0" borderId="13" xfId="72" applyFont="1" applyBorder="1" applyAlignment="1" applyProtection="1">
      <alignment horizontal="center"/>
      <protection locked="0"/>
    </xf>
    <xf numFmtId="0" fontId="1" fillId="0" borderId="18" xfId="72" applyFont="1" applyBorder="1" applyAlignment="1" applyProtection="1">
      <alignment horizontal="center"/>
      <protection locked="0"/>
    </xf>
    <xf numFmtId="0" fontId="1" fillId="0" borderId="20" xfId="72" applyFont="1" applyBorder="1" applyAlignment="1" applyProtection="1">
      <alignment horizontal="center"/>
      <protection locked="0"/>
    </xf>
    <xf numFmtId="0" fontId="1" fillId="0" borderId="0" xfId="72" applyFont="1" applyBorder="1" applyAlignment="1" applyProtection="1">
      <alignment horizontal="center"/>
      <protection locked="0"/>
    </xf>
    <xf numFmtId="0" fontId="1" fillId="0" borderId="19" xfId="72" applyFont="1" applyBorder="1" applyAlignment="1" applyProtection="1">
      <alignment horizontal="center"/>
      <protection locked="0"/>
    </xf>
    <xf numFmtId="0" fontId="5" fillId="0" borderId="14" xfId="72" applyFont="1" applyBorder="1" applyAlignment="1" applyProtection="1">
      <alignment horizontal="center" vertical="center"/>
    </xf>
    <xf numFmtId="0" fontId="5" fillId="0" borderId="13" xfId="72" applyFont="1" applyBorder="1" applyAlignment="1" applyProtection="1">
      <alignment horizontal="center" vertical="center"/>
    </xf>
    <xf numFmtId="0" fontId="5" fillId="0" borderId="18" xfId="72" applyFont="1" applyBorder="1" applyAlignment="1" applyProtection="1">
      <alignment horizontal="center" vertical="center"/>
    </xf>
    <xf numFmtId="0" fontId="5" fillId="0" borderId="20" xfId="72" applyFont="1" applyBorder="1" applyAlignment="1" applyProtection="1">
      <alignment horizontal="center" vertical="center" wrapText="1"/>
    </xf>
    <xf numFmtId="0" fontId="5" fillId="0" borderId="0" xfId="72" applyFont="1" applyBorder="1" applyAlignment="1" applyProtection="1">
      <alignment horizontal="center" vertical="center" wrapText="1"/>
    </xf>
    <xf numFmtId="0" fontId="5" fillId="0" borderId="19" xfId="72" applyFont="1" applyBorder="1" applyAlignment="1" applyProtection="1">
      <alignment horizontal="center" vertical="center" wrapText="1"/>
    </xf>
    <xf numFmtId="0" fontId="5" fillId="0" borderId="20" xfId="72" applyFont="1" applyBorder="1" applyAlignment="1" applyProtection="1">
      <alignment horizontal="center" vertical="center"/>
    </xf>
    <xf numFmtId="0" fontId="5" fillId="0" borderId="0" xfId="72" applyFont="1" applyBorder="1" applyAlignment="1" applyProtection="1">
      <alignment horizontal="center" vertical="center"/>
    </xf>
    <xf numFmtId="0" fontId="5" fillId="0" borderId="19" xfId="72" applyFont="1" applyBorder="1" applyAlignment="1" applyProtection="1">
      <alignment horizontal="center" vertical="center"/>
    </xf>
    <xf numFmtId="0" fontId="140" fillId="2" borderId="12" xfId="72" applyFont="1" applyFill="1" applyBorder="1" applyAlignment="1" applyProtection="1">
      <alignment horizontal="left" vertical="center" wrapText="1"/>
    </xf>
    <xf numFmtId="0" fontId="140" fillId="2" borderId="11" xfId="72" applyFont="1" applyFill="1" applyBorder="1" applyAlignment="1" applyProtection="1">
      <alignment horizontal="left" vertical="center" wrapText="1"/>
    </xf>
    <xf numFmtId="0" fontId="140" fillId="2" borderId="10" xfId="72" applyFont="1" applyFill="1" applyBorder="1" applyAlignment="1" applyProtection="1">
      <alignment horizontal="left" vertical="center" wrapText="1"/>
    </xf>
    <xf numFmtId="0" fontId="140" fillId="2" borderId="57" xfId="72" applyFont="1" applyFill="1" applyBorder="1" applyAlignment="1" applyProtection="1">
      <alignment horizontal="left" vertical="center" wrapText="1"/>
    </xf>
    <xf numFmtId="0" fontId="2" fillId="0" borderId="165" xfId="72" applyFont="1" applyBorder="1" applyAlignment="1" applyProtection="1">
      <alignment horizontal="left" vertical="center"/>
    </xf>
    <xf numFmtId="0" fontId="2" fillId="0" borderId="166" xfId="72" applyFont="1" applyBorder="1" applyAlignment="1" applyProtection="1">
      <alignment horizontal="left" vertical="center"/>
    </xf>
    <xf numFmtId="0" fontId="2" fillId="0" borderId="167" xfId="72" applyFont="1" applyBorder="1" applyAlignment="1" applyProtection="1">
      <alignment horizontal="left" vertical="center"/>
    </xf>
    <xf numFmtId="0" fontId="2" fillId="0" borderId="164" xfId="72" applyFont="1" applyBorder="1" applyAlignment="1" applyProtection="1">
      <alignment horizontal="center" vertical="center"/>
      <protection locked="0"/>
    </xf>
    <xf numFmtId="0" fontId="5" fillId="2" borderId="0" xfId="72" applyFont="1" applyFill="1" applyBorder="1" applyAlignment="1" applyProtection="1">
      <alignment horizontal="left" vertical="center"/>
    </xf>
    <xf numFmtId="0" fontId="2" fillId="2" borderId="35" xfId="72" applyFont="1" applyFill="1" applyBorder="1" applyAlignment="1" applyProtection="1">
      <alignment horizontal="left" vertical="center"/>
      <protection locked="0"/>
    </xf>
    <xf numFmtId="0" fontId="2" fillId="2" borderId="137" xfId="72" applyFont="1" applyFill="1" applyBorder="1" applyAlignment="1" applyProtection="1">
      <alignment horizontal="left" vertical="center"/>
      <protection locked="0"/>
    </xf>
    <xf numFmtId="0" fontId="5" fillId="0" borderId="40" xfId="72" applyFont="1" applyBorder="1" applyProtection="1">
      <protection locked="0"/>
    </xf>
    <xf numFmtId="0" fontId="5" fillId="2" borderId="99" xfId="72" applyFont="1" applyFill="1" applyBorder="1" applyAlignment="1" applyProtection="1">
      <alignment vertical="center"/>
    </xf>
    <xf numFmtId="0" fontId="5" fillId="2" borderId="35" xfId="72" applyFont="1" applyFill="1" applyBorder="1" applyAlignment="1" applyProtection="1">
      <alignment vertical="center"/>
    </xf>
    <xf numFmtId="0" fontId="5" fillId="2" borderId="20" xfId="72" applyFont="1" applyFill="1" applyBorder="1" applyAlignment="1" applyProtection="1">
      <alignment vertical="center"/>
    </xf>
    <xf numFmtId="0" fontId="5" fillId="2" borderId="0" xfId="72" applyFont="1" applyFill="1" applyBorder="1" applyAlignment="1" applyProtection="1">
      <alignment vertical="center"/>
    </xf>
    <xf numFmtId="0" fontId="140" fillId="2" borderId="152" xfId="21" applyFont="1" applyFill="1" applyBorder="1" applyAlignment="1" applyProtection="1">
      <alignment horizontal="left"/>
      <protection locked="0"/>
    </xf>
    <xf numFmtId="0" fontId="140" fillId="2" borderId="149" xfId="21" applyFont="1" applyFill="1" applyBorder="1" applyAlignment="1" applyProtection="1">
      <alignment horizontal="left"/>
      <protection locked="0"/>
    </xf>
    <xf numFmtId="0" fontId="140" fillId="2" borderId="153" xfId="21" applyFont="1" applyFill="1" applyBorder="1" applyAlignment="1" applyProtection="1">
      <alignment horizontal="left"/>
      <protection locked="0"/>
    </xf>
    <xf numFmtId="168" fontId="2" fillId="2" borderId="0" xfId="72" applyNumberFormat="1" applyFont="1" applyFill="1" applyBorder="1" applyAlignment="1" applyProtection="1">
      <alignment horizontal="left" vertical="center"/>
      <protection locked="0"/>
    </xf>
    <xf numFmtId="168" fontId="2" fillId="2" borderId="19" xfId="72" applyNumberFormat="1" applyFont="1" applyFill="1" applyBorder="1" applyAlignment="1" applyProtection="1">
      <alignment horizontal="left" vertical="center"/>
      <protection locked="0"/>
    </xf>
    <xf numFmtId="0" fontId="2" fillId="2" borderId="0" xfId="72" applyFont="1" applyFill="1" applyBorder="1" applyAlignment="1" applyProtection="1">
      <alignment horizontal="left" vertical="center"/>
    </xf>
    <xf numFmtId="0" fontId="5" fillId="2" borderId="154" xfId="72" applyFont="1" applyFill="1" applyBorder="1" applyAlignment="1" applyProtection="1">
      <alignment vertical="center"/>
    </xf>
    <xf numFmtId="0" fontId="5" fillId="2" borderId="40" xfId="72" applyFont="1" applyFill="1" applyBorder="1" applyAlignment="1" applyProtection="1">
      <alignment vertical="center"/>
    </xf>
    <xf numFmtId="0" fontId="2" fillId="2" borderId="35" xfId="72" applyFont="1" applyFill="1" applyBorder="1" applyAlignment="1" applyProtection="1">
      <alignment horizontal="left" vertical="center"/>
    </xf>
    <xf numFmtId="0" fontId="74" fillId="2" borderId="0" xfId="72" applyFont="1" applyFill="1" applyBorder="1" applyAlignment="1" applyProtection="1">
      <alignment horizontal="right" vertical="center"/>
    </xf>
    <xf numFmtId="0" fontId="5" fillId="27" borderId="0" xfId="0" applyFont="1" applyFill="1" applyBorder="1" applyAlignment="1" applyProtection="1">
      <alignment horizontal="right" vertical="center"/>
    </xf>
    <xf numFmtId="0" fontId="2" fillId="2" borderId="0" xfId="72" applyFont="1" applyFill="1" applyBorder="1" applyAlignment="1" applyProtection="1">
      <alignment vertical="center"/>
    </xf>
    <xf numFmtId="0" fontId="2" fillId="2" borderId="40" xfId="72" applyFont="1" applyFill="1" applyBorder="1" applyAlignment="1" applyProtection="1">
      <alignment horizontal="left" vertical="center"/>
    </xf>
    <xf numFmtId="0" fontId="4" fillId="27" borderId="35" xfId="71" applyFont="1" applyFill="1" applyBorder="1" applyAlignment="1" applyProtection="1">
      <alignment horizontal="left" vertical="top" wrapText="1"/>
      <protection locked="0"/>
    </xf>
    <xf numFmtId="0" fontId="4" fillId="27" borderId="137" xfId="71" applyFont="1" applyFill="1" applyBorder="1" applyAlignment="1" applyProtection="1">
      <alignment horizontal="left" vertical="top" wrapText="1"/>
      <protection locked="0"/>
    </xf>
    <xf numFmtId="0" fontId="2" fillId="0" borderId="172" xfId="72" applyFont="1" applyBorder="1" applyAlignment="1" applyProtection="1">
      <alignment horizontal="left" vertical="center" wrapText="1"/>
    </xf>
    <xf numFmtId="0" fontId="2" fillId="0" borderId="173" xfId="72" applyFont="1" applyBorder="1" applyAlignment="1" applyProtection="1">
      <alignment horizontal="left" vertical="center" wrapText="1"/>
    </xf>
    <xf numFmtId="167" fontId="2" fillId="0" borderId="171" xfId="72" applyNumberFormat="1" applyFont="1" applyBorder="1" applyAlignment="1" applyProtection="1">
      <alignment horizontal="center" vertical="center"/>
    </xf>
    <xf numFmtId="0" fontId="2" fillId="0" borderId="154" xfId="72" applyFont="1" applyBorder="1" applyAlignment="1" applyProtection="1">
      <alignment horizontal="left" vertical="center" wrapText="1"/>
    </xf>
    <xf numFmtId="0" fontId="2" fillId="0" borderId="40" xfId="72" applyFont="1" applyBorder="1" applyAlignment="1" applyProtection="1">
      <alignment horizontal="left" vertical="center" wrapText="1"/>
    </xf>
    <xf numFmtId="0" fontId="5" fillId="29" borderId="16" xfId="72" applyFont="1" applyFill="1" applyBorder="1" applyAlignment="1" applyProtection="1">
      <alignment horizontal="center" vertical="center"/>
    </xf>
    <xf numFmtId="0" fontId="5" fillId="29" borderId="17" xfId="72" applyFont="1" applyFill="1" applyBorder="1" applyAlignment="1" applyProtection="1">
      <alignment horizontal="center" vertical="center"/>
    </xf>
    <xf numFmtId="0" fontId="5" fillId="29" borderId="15" xfId="72" applyFont="1" applyFill="1" applyBorder="1" applyAlignment="1" applyProtection="1">
      <alignment horizontal="center" vertical="center"/>
    </xf>
    <xf numFmtId="1" fontId="2" fillId="0" borderId="171" xfId="72" applyNumberFormat="1" applyFont="1" applyBorder="1" applyAlignment="1" applyProtection="1">
      <alignment horizontal="center" vertical="center"/>
    </xf>
    <xf numFmtId="1" fontId="2" fillId="0" borderId="176" xfId="72" applyNumberFormat="1" applyFont="1" applyBorder="1" applyAlignment="1" applyProtection="1">
      <alignment horizontal="center" vertical="center"/>
    </xf>
    <xf numFmtId="1" fontId="43" fillId="0" borderId="171" xfId="72" applyNumberFormat="1" applyFont="1" applyBorder="1" applyAlignment="1" applyProtection="1">
      <alignment horizontal="center" vertical="center"/>
    </xf>
    <xf numFmtId="1" fontId="43" fillId="0" borderId="172" xfId="72" applyNumberFormat="1" applyFont="1" applyBorder="1" applyAlignment="1" applyProtection="1">
      <alignment horizontal="center" vertical="center"/>
    </xf>
    <xf numFmtId="1" fontId="43" fillId="0" borderId="175" xfId="72" applyNumberFormat="1" applyFont="1" applyBorder="1" applyAlignment="1" applyProtection="1">
      <alignment horizontal="center" vertical="center"/>
    </xf>
    <xf numFmtId="0" fontId="2" fillId="0" borderId="173" xfId="72" applyFont="1" applyBorder="1" applyAlignment="1" applyProtection="1">
      <alignment horizontal="center" vertical="center" wrapText="1"/>
    </xf>
    <xf numFmtId="0" fontId="2" fillId="0" borderId="174" xfId="72" applyFont="1" applyBorder="1" applyAlignment="1" applyProtection="1">
      <alignment horizontal="center" vertical="center" wrapText="1"/>
    </xf>
    <xf numFmtId="167" fontId="2" fillId="0" borderId="160" xfId="72" applyNumberFormat="1" applyFont="1" applyBorder="1" applyAlignment="1" applyProtection="1">
      <alignment horizontal="center" vertical="center"/>
    </xf>
    <xf numFmtId="167" fontId="2" fillId="0" borderId="161" xfId="72" applyNumberFormat="1" applyFont="1" applyBorder="1" applyAlignment="1" applyProtection="1">
      <alignment horizontal="center" vertical="center"/>
    </xf>
    <xf numFmtId="167" fontId="2" fillId="0" borderId="163" xfId="72" applyNumberFormat="1" applyFont="1" applyBorder="1" applyAlignment="1" applyProtection="1">
      <alignment horizontal="center" vertical="center"/>
    </xf>
    <xf numFmtId="0" fontId="2" fillId="0" borderId="173" xfId="72" applyFont="1" applyBorder="1" applyAlignment="1" applyProtection="1">
      <alignment horizontal="center" vertical="center"/>
    </xf>
    <xf numFmtId="0" fontId="2" fillId="0" borderId="174" xfId="72" applyFont="1" applyBorder="1" applyAlignment="1" applyProtection="1">
      <alignment horizontal="center" vertical="center"/>
    </xf>
    <xf numFmtId="0" fontId="2" fillId="0" borderId="20" xfId="72" applyFont="1" applyBorder="1" applyAlignment="1" applyProtection="1">
      <alignment horizontal="left" vertical="center" wrapText="1"/>
    </xf>
    <xf numFmtId="0" fontId="2" fillId="0" borderId="0" xfId="72" applyFont="1" applyBorder="1" applyAlignment="1" applyProtection="1">
      <alignment horizontal="left" vertical="center" wrapText="1"/>
    </xf>
    <xf numFmtId="0" fontId="2" fillId="0" borderId="0" xfId="72" applyFont="1" applyBorder="1" applyAlignment="1" applyProtection="1">
      <alignment horizontal="center" vertical="center" wrapText="1"/>
    </xf>
    <xf numFmtId="0" fontId="2" fillId="0" borderId="19" xfId="72" applyFont="1" applyBorder="1" applyAlignment="1" applyProtection="1">
      <alignment horizontal="center" vertical="center" wrapText="1"/>
    </xf>
    <xf numFmtId="0" fontId="2" fillId="0" borderId="169" xfId="72" applyFont="1" applyBorder="1" applyAlignment="1" applyProtection="1">
      <alignment horizontal="left" vertical="center"/>
    </xf>
    <xf numFmtId="0" fontId="2" fillId="0" borderId="170" xfId="72" applyFont="1" applyBorder="1" applyAlignment="1" applyProtection="1">
      <alignment horizontal="left" vertical="center"/>
    </xf>
    <xf numFmtId="0" fontId="5" fillId="0" borderId="39" xfId="1" applyFont="1" applyBorder="1" applyAlignment="1" applyProtection="1">
      <alignment horizontal="left" vertical="center"/>
    </xf>
    <xf numFmtId="0" fontId="5" fillId="0" borderId="40" xfId="1" applyFont="1" applyBorder="1" applyAlignment="1" applyProtection="1">
      <alignment horizontal="left" vertical="center"/>
    </xf>
    <xf numFmtId="0" fontId="1" fillId="0" borderId="0" xfId="71" applyFont="1" applyFill="1" applyBorder="1" applyAlignment="1" applyProtection="1">
      <alignment horizontal="center"/>
      <protection locked="0"/>
    </xf>
    <xf numFmtId="0" fontId="1" fillId="0" borderId="19" xfId="71" applyFont="1" applyFill="1" applyBorder="1" applyAlignment="1" applyProtection="1">
      <alignment horizontal="center"/>
      <protection locked="0"/>
    </xf>
    <xf numFmtId="0" fontId="1" fillId="0" borderId="0" xfId="71" applyFont="1" applyFill="1" applyBorder="1" applyAlignment="1" applyProtection="1">
      <alignment horizontal="center" vertical="center"/>
      <protection locked="0"/>
    </xf>
    <xf numFmtId="0" fontId="1" fillId="0" borderId="19" xfId="71" applyFont="1" applyFill="1" applyBorder="1" applyAlignment="1" applyProtection="1">
      <alignment horizontal="center" vertical="center"/>
      <protection locked="0"/>
    </xf>
    <xf numFmtId="2" fontId="1" fillId="0" borderId="0" xfId="1" applyNumberFormat="1" applyFont="1" applyBorder="1" applyProtection="1">
      <protection locked="0"/>
    </xf>
    <xf numFmtId="0" fontId="49" fillId="0" borderId="16" xfId="73" applyFont="1" applyBorder="1" applyAlignment="1" applyProtection="1">
      <alignment horizontal="left" vertical="top"/>
      <protection locked="0"/>
    </xf>
    <xf numFmtId="0" fontId="49" fillId="0" borderId="17" xfId="73" applyFont="1" applyBorder="1" applyAlignment="1" applyProtection="1">
      <alignment horizontal="left" vertical="top"/>
      <protection locked="0"/>
    </xf>
    <xf numFmtId="0" fontId="49" fillId="0" borderId="15" xfId="73" applyFont="1" applyBorder="1" applyAlignment="1" applyProtection="1">
      <alignment horizontal="left" vertical="top"/>
      <protection locked="0"/>
    </xf>
    <xf numFmtId="0" fontId="1" fillId="25" borderId="14" xfId="71" applyFont="1" applyFill="1" applyBorder="1" applyAlignment="1" applyProtection="1">
      <alignment horizontal="center" vertical="center"/>
      <protection locked="0"/>
    </xf>
    <xf numFmtId="0" fontId="1" fillId="25" borderId="13" xfId="71" applyFont="1" applyFill="1" applyBorder="1" applyAlignment="1" applyProtection="1">
      <alignment horizontal="center" vertical="center"/>
      <protection locked="0"/>
    </xf>
    <xf numFmtId="0" fontId="5" fillId="25" borderId="20" xfId="68" applyFont="1" applyFill="1" applyBorder="1" applyAlignment="1" applyProtection="1">
      <alignment horizontal="left" vertical="center" indent="2"/>
    </xf>
    <xf numFmtId="0" fontId="5" fillId="25" borderId="109" xfId="68" applyFont="1" applyFill="1" applyBorder="1" applyAlignment="1" applyProtection="1">
      <alignment horizontal="center" vertical="center"/>
    </xf>
    <xf numFmtId="0" fontId="5" fillId="25" borderId="105" xfId="68" applyFont="1" applyFill="1" applyBorder="1" applyAlignment="1" applyProtection="1">
      <alignment horizontal="center" vertical="center"/>
    </xf>
    <xf numFmtId="0" fontId="1" fillId="27" borderId="37" xfId="71" applyFont="1" applyFill="1" applyBorder="1" applyAlignment="1" applyProtection="1">
      <alignment horizontal="center"/>
      <protection locked="0"/>
    </xf>
    <xf numFmtId="0" fontId="1" fillId="27" borderId="0" xfId="71" applyFont="1" applyFill="1" applyBorder="1" applyAlignment="1" applyProtection="1">
      <alignment horizontal="center"/>
      <protection locked="0"/>
    </xf>
    <xf numFmtId="0" fontId="1" fillId="27" borderId="38" xfId="71" applyFont="1" applyFill="1" applyBorder="1" applyAlignment="1" applyProtection="1">
      <alignment horizontal="center"/>
      <protection locked="0"/>
    </xf>
    <xf numFmtId="0" fontId="1" fillId="27" borderId="107" xfId="71" applyFont="1" applyFill="1" applyBorder="1" applyAlignment="1" applyProtection="1">
      <alignment horizontal="center" vertical="center"/>
    </xf>
    <xf numFmtId="0" fontId="1" fillId="27" borderId="61" xfId="71" applyFont="1" applyFill="1" applyBorder="1" applyAlignment="1" applyProtection="1">
      <alignment horizontal="center" vertical="center"/>
    </xf>
    <xf numFmtId="0" fontId="1" fillId="27" borderId="151" xfId="71" applyFont="1" applyFill="1" applyBorder="1" applyAlignment="1" applyProtection="1">
      <alignment horizontal="center" vertical="center"/>
    </xf>
    <xf numFmtId="0" fontId="3" fillId="27" borderId="99" xfId="71" applyFont="1" applyFill="1" applyBorder="1" applyAlignment="1" applyProtection="1">
      <alignment horizontal="left" vertical="top" wrapText="1"/>
    </xf>
    <xf numFmtId="0" fontId="3" fillId="27" borderId="35" xfId="71" applyFont="1" applyFill="1" applyBorder="1" applyAlignment="1" applyProtection="1">
      <alignment horizontal="left" vertical="top" wrapText="1"/>
    </xf>
    <xf numFmtId="0" fontId="1" fillId="27" borderId="35" xfId="71" applyFont="1" applyFill="1" applyBorder="1" applyAlignment="1" applyProtection="1">
      <alignment horizontal="left" vertical="top" wrapText="1"/>
      <protection locked="0"/>
    </xf>
    <xf numFmtId="0" fontId="1" fillId="27" borderId="137" xfId="71" applyFont="1" applyFill="1" applyBorder="1" applyAlignment="1" applyProtection="1">
      <alignment horizontal="left" vertical="top" wrapText="1"/>
      <protection locked="0"/>
    </xf>
    <xf numFmtId="0" fontId="45" fillId="25" borderId="223" xfId="68" applyFont="1" applyFill="1" applyBorder="1" applyAlignment="1" applyProtection="1">
      <alignment horizontal="center" vertical="center"/>
    </xf>
    <xf numFmtId="0" fontId="47" fillId="0" borderId="0" xfId="69" applyFont="1" applyBorder="1" applyAlignment="1" applyProtection="1">
      <alignment horizontal="center" wrapText="1"/>
    </xf>
    <xf numFmtId="0" fontId="5" fillId="25" borderId="60" xfId="68" applyFont="1" applyFill="1" applyBorder="1" applyAlignment="1" applyProtection="1">
      <alignment horizontal="left" vertical="center" indent="2"/>
    </xf>
    <xf numFmtId="0" fontId="5" fillId="25" borderId="61" xfId="68" applyFont="1" applyFill="1" applyBorder="1" applyAlignment="1" applyProtection="1">
      <alignment horizontal="left" vertical="center" indent="2"/>
    </xf>
    <xf numFmtId="0" fontId="1" fillId="0" borderId="61" xfId="71" applyFont="1" applyFill="1" applyBorder="1" applyAlignment="1" applyProtection="1">
      <alignment horizontal="center" vertical="center"/>
    </xf>
    <xf numFmtId="0" fontId="1" fillId="0" borderId="62" xfId="71" applyFont="1" applyFill="1" applyBorder="1" applyAlignment="1" applyProtection="1">
      <alignment horizontal="center" vertical="center"/>
    </xf>
    <xf numFmtId="0" fontId="4" fillId="0" borderId="222" xfId="1" applyFont="1" applyBorder="1" applyAlignment="1" applyProtection="1">
      <alignment horizontal="left" vertical="center"/>
    </xf>
    <xf numFmtId="0" fontId="4" fillId="0" borderId="173" xfId="1" applyFont="1" applyBorder="1" applyAlignment="1" applyProtection="1">
      <alignment horizontal="left" vertical="center"/>
    </xf>
    <xf numFmtId="0" fontId="43" fillId="27" borderId="0" xfId="1" applyFont="1" applyFill="1" applyBorder="1" applyAlignment="1" applyProtection="1">
      <alignment horizontal="left" vertical="center"/>
    </xf>
    <xf numFmtId="2" fontId="1" fillId="0" borderId="0" xfId="1" applyNumberFormat="1" applyFont="1" applyBorder="1" applyAlignment="1" applyProtection="1">
      <alignment horizontal="center"/>
      <protection locked="0"/>
    </xf>
    <xf numFmtId="0" fontId="2" fillId="0" borderId="166" xfId="1" applyFont="1" applyBorder="1" applyAlignment="1" applyProtection="1">
      <alignment horizontal="center" vertical="center"/>
      <protection locked="0"/>
    </xf>
    <xf numFmtId="0" fontId="2" fillId="0" borderId="210" xfId="1" applyFont="1" applyBorder="1" applyAlignment="1" applyProtection="1">
      <alignment horizontal="center" vertical="center"/>
      <protection locked="0"/>
    </xf>
    <xf numFmtId="0" fontId="2" fillId="0" borderId="173" xfId="1" applyFont="1" applyBorder="1" applyAlignment="1" applyProtection="1">
      <alignment horizontal="center" vertical="center"/>
      <protection locked="0"/>
    </xf>
    <xf numFmtId="0" fontId="2" fillId="0" borderId="218" xfId="1" applyFont="1" applyBorder="1" applyAlignment="1" applyProtection="1">
      <alignment horizontal="center" vertical="center"/>
      <protection locked="0"/>
    </xf>
    <xf numFmtId="167" fontId="43" fillId="0" borderId="40" xfId="1" applyNumberFormat="1" applyFont="1" applyBorder="1" applyAlignment="1" applyProtection="1">
      <alignment horizontal="center" vertical="center"/>
    </xf>
    <xf numFmtId="167" fontId="43" fillId="0" borderId="41" xfId="1" applyNumberFormat="1" applyFont="1" applyBorder="1" applyAlignment="1" applyProtection="1">
      <alignment horizontal="center" vertical="center"/>
    </xf>
    <xf numFmtId="0" fontId="44" fillId="0" borderId="0" xfId="1" applyFont="1" applyBorder="1" applyAlignment="1" applyProtection="1">
      <alignment horizontal="center" vertical="center" wrapText="1"/>
    </xf>
    <xf numFmtId="0" fontId="4" fillId="0" borderId="166" xfId="1" applyFont="1" applyBorder="1" applyAlignment="1" applyProtection="1">
      <alignment horizontal="center" vertical="center"/>
      <protection locked="0"/>
    </xf>
    <xf numFmtId="0" fontId="4" fillId="0" borderId="212" xfId="1" applyFont="1" applyBorder="1" applyAlignment="1" applyProtection="1">
      <alignment horizontal="center" vertical="center"/>
      <protection locked="0"/>
    </xf>
    <xf numFmtId="0" fontId="4" fillId="0" borderId="173" xfId="1" applyFont="1" applyBorder="1" applyAlignment="1" applyProtection="1">
      <alignment horizontal="center" vertical="center"/>
      <protection locked="0"/>
    </xf>
    <xf numFmtId="0" fontId="4" fillId="0" borderId="184" xfId="1" applyFont="1" applyBorder="1" applyAlignment="1" applyProtection="1">
      <alignment horizontal="center" vertical="center"/>
      <protection locked="0"/>
    </xf>
    <xf numFmtId="0" fontId="4" fillId="0" borderId="173" xfId="1" applyFont="1" applyBorder="1" applyAlignment="1" applyProtection="1">
      <alignment horizontal="center" vertical="center"/>
    </xf>
    <xf numFmtId="0" fontId="4" fillId="0" borderId="184" xfId="1" applyFont="1" applyBorder="1" applyAlignment="1" applyProtection="1">
      <alignment horizontal="center" vertical="center"/>
    </xf>
    <xf numFmtId="0" fontId="4" fillId="0" borderId="40" xfId="1" applyFont="1" applyBorder="1" applyAlignment="1" applyProtection="1">
      <alignment horizontal="center" vertical="center"/>
    </xf>
    <xf numFmtId="0" fontId="4" fillId="0" borderId="200" xfId="1" applyFont="1" applyBorder="1" applyAlignment="1" applyProtection="1">
      <alignment horizontal="center" vertical="center"/>
    </xf>
    <xf numFmtId="0" fontId="51" fillId="0" borderId="0" xfId="1" applyFont="1" applyAlignment="1" applyProtection="1">
      <alignment horizontal="center"/>
    </xf>
    <xf numFmtId="0" fontId="5" fillId="2" borderId="20" xfId="1" applyFont="1" applyFill="1" applyBorder="1" applyAlignment="1" applyProtection="1">
      <alignment horizontal="center" vertical="center" wrapText="1"/>
    </xf>
    <xf numFmtId="0" fontId="5" fillId="2" borderId="0" xfId="1" applyFont="1" applyFill="1" applyBorder="1" applyAlignment="1" applyProtection="1">
      <alignment horizontal="center" vertical="center" wrapText="1"/>
    </xf>
    <xf numFmtId="0" fontId="5" fillId="2" borderId="19" xfId="1" applyFont="1" applyFill="1" applyBorder="1" applyAlignment="1" applyProtection="1">
      <alignment horizontal="center" vertical="center" wrapText="1"/>
    </xf>
    <xf numFmtId="0" fontId="5" fillId="2" borderId="16" xfId="1" applyFont="1" applyFill="1" applyBorder="1" applyAlignment="1" applyProtection="1">
      <alignment horizontal="center" vertical="center"/>
    </xf>
    <xf numFmtId="0" fontId="5" fillId="2" borderId="17" xfId="1" applyFont="1" applyFill="1" applyBorder="1" applyAlignment="1" applyProtection="1">
      <alignment horizontal="center" vertical="center"/>
    </xf>
    <xf numFmtId="0" fontId="5" fillId="2" borderId="15" xfId="1" applyFont="1" applyFill="1" applyBorder="1" applyAlignment="1" applyProtection="1">
      <alignment horizontal="center" vertical="center"/>
    </xf>
    <xf numFmtId="0" fontId="140" fillId="2" borderId="12" xfId="1" applyFont="1" applyFill="1" applyBorder="1" applyAlignment="1" applyProtection="1">
      <alignment horizontal="left" vertical="center" wrapText="1"/>
    </xf>
    <xf numFmtId="0" fontId="140" fillId="2" borderId="11" xfId="1" applyFont="1" applyFill="1" applyBorder="1" applyAlignment="1" applyProtection="1">
      <alignment horizontal="left" vertical="center" wrapText="1"/>
    </xf>
    <xf numFmtId="0" fontId="140" fillId="2" borderId="10" xfId="1" applyFont="1" applyFill="1" applyBorder="1" applyAlignment="1" applyProtection="1">
      <alignment horizontal="left" vertical="center" wrapText="1"/>
    </xf>
    <xf numFmtId="0" fontId="5" fillId="2" borderId="14" xfId="1" applyFont="1" applyFill="1" applyBorder="1" applyAlignment="1" applyProtection="1">
      <alignment horizontal="center" vertical="center"/>
    </xf>
    <xf numFmtId="0" fontId="5" fillId="2" borderId="13" xfId="1" applyFont="1" applyFill="1" applyBorder="1" applyAlignment="1" applyProtection="1">
      <alignment horizontal="center" vertical="center"/>
    </xf>
    <xf numFmtId="168" fontId="2" fillId="27" borderId="0" xfId="1" applyNumberFormat="1" applyFont="1" applyFill="1" applyBorder="1" applyAlignment="1" applyProtection="1">
      <alignment horizontal="left" vertical="center"/>
      <protection locked="0"/>
    </xf>
    <xf numFmtId="168" fontId="2" fillId="27" borderId="19" xfId="1" applyNumberFormat="1" applyFont="1" applyFill="1" applyBorder="1" applyAlignment="1" applyProtection="1">
      <alignment horizontal="left" vertical="center"/>
      <protection locked="0"/>
    </xf>
    <xf numFmtId="0" fontId="2" fillId="2" borderId="13" xfId="72" applyFont="1" applyFill="1" applyBorder="1" applyAlignment="1" applyProtection="1">
      <alignment horizontal="left" vertical="center"/>
      <protection locked="0"/>
    </xf>
    <xf numFmtId="0" fontId="2" fillId="2" borderId="18" xfId="72" applyFont="1" applyFill="1" applyBorder="1" applyAlignment="1" applyProtection="1">
      <alignment horizontal="left" vertical="center"/>
      <protection locked="0"/>
    </xf>
    <xf numFmtId="0" fontId="43" fillId="27" borderId="0" xfId="0" applyFont="1" applyFill="1" applyBorder="1" applyAlignment="1" applyProtection="1">
      <alignment horizontal="left" vertical="center"/>
    </xf>
    <xf numFmtId="168" fontId="2" fillId="27" borderId="0" xfId="1" applyNumberFormat="1" applyFont="1" applyFill="1" applyBorder="1" applyAlignment="1" applyProtection="1">
      <alignment horizontal="left" vertical="center"/>
    </xf>
    <xf numFmtId="168" fontId="2" fillId="27" borderId="19" xfId="1" applyNumberFormat="1" applyFont="1" applyFill="1" applyBorder="1" applyAlignment="1" applyProtection="1">
      <alignment horizontal="left" vertical="center"/>
    </xf>
    <xf numFmtId="0" fontId="43" fillId="27" borderId="14" xfId="1" applyFont="1" applyFill="1" applyBorder="1" applyAlignment="1" applyProtection="1">
      <alignment vertical="center"/>
    </xf>
    <xf numFmtId="0" fontId="43" fillId="27" borderId="13" xfId="1" applyFont="1" applyFill="1" applyBorder="1" applyAlignment="1" applyProtection="1">
      <alignment vertical="center"/>
    </xf>
    <xf numFmtId="0" fontId="43" fillId="27" borderId="0" xfId="1" applyFont="1" applyFill="1" applyBorder="1" applyAlignment="1" applyProtection="1">
      <alignment horizontal="center" vertical="center"/>
    </xf>
    <xf numFmtId="0" fontId="2" fillId="27" borderId="0" xfId="1" applyFont="1" applyFill="1" applyBorder="1" applyAlignment="1" applyProtection="1">
      <alignment horizontal="left" vertical="center"/>
    </xf>
    <xf numFmtId="0" fontId="2" fillId="27" borderId="13" xfId="1" applyFont="1" applyFill="1" applyBorder="1" applyAlignment="1" applyProtection="1">
      <alignment horizontal="left" vertical="center"/>
    </xf>
    <xf numFmtId="0" fontId="1" fillId="2" borderId="20" xfId="1" applyFont="1" applyFill="1" applyBorder="1" applyAlignment="1" applyProtection="1">
      <alignment horizontal="center"/>
      <protection locked="0"/>
    </xf>
    <xf numFmtId="0" fontId="1" fillId="2" borderId="0" xfId="1" applyFont="1" applyFill="1" applyBorder="1" applyAlignment="1" applyProtection="1">
      <alignment horizontal="center"/>
      <protection locked="0"/>
    </xf>
    <xf numFmtId="0" fontId="1" fillId="2" borderId="19" xfId="1" applyFont="1" applyFill="1" applyBorder="1" applyAlignment="1" applyProtection="1">
      <alignment horizontal="center"/>
      <protection locked="0"/>
    </xf>
    <xf numFmtId="0" fontId="1" fillId="2" borderId="16" xfId="1" applyFont="1" applyFill="1" applyBorder="1" applyAlignment="1" applyProtection="1">
      <alignment horizontal="center"/>
      <protection locked="0"/>
    </xf>
    <xf numFmtId="0" fontId="1" fillId="2" borderId="17" xfId="1" applyFont="1" applyFill="1" applyBorder="1" applyAlignment="1" applyProtection="1">
      <alignment horizontal="center"/>
      <protection locked="0"/>
    </xf>
    <xf numFmtId="0" fontId="1" fillId="2" borderId="15" xfId="1" applyFont="1" applyFill="1" applyBorder="1" applyAlignment="1" applyProtection="1">
      <alignment horizontal="center"/>
      <protection locked="0"/>
    </xf>
    <xf numFmtId="0" fontId="140" fillId="0" borderId="12" xfId="1" applyFont="1" applyBorder="1" applyAlignment="1" applyProtection="1">
      <alignment horizontal="left" vertical="center"/>
    </xf>
    <xf numFmtId="0" fontId="140" fillId="0" borderId="11" xfId="1" applyFont="1" applyBorder="1" applyAlignment="1" applyProtection="1">
      <alignment horizontal="left" vertical="center"/>
    </xf>
    <xf numFmtId="0" fontId="140" fillId="0" borderId="10" xfId="1" applyFont="1" applyBorder="1" applyAlignment="1" applyProtection="1">
      <alignment horizontal="left" vertical="center"/>
    </xf>
    <xf numFmtId="0" fontId="43" fillId="27" borderId="20" xfId="1" applyFont="1" applyFill="1" applyBorder="1" applyAlignment="1" applyProtection="1">
      <alignment vertical="center"/>
    </xf>
    <xf numFmtId="0" fontId="43" fillId="27" borderId="0" xfId="1" applyFont="1" applyFill="1" applyBorder="1" applyAlignment="1" applyProtection="1">
      <alignment vertical="center"/>
    </xf>
    <xf numFmtId="0" fontId="43" fillId="27" borderId="154" xfId="1" applyFont="1" applyFill="1" applyBorder="1" applyAlignment="1" applyProtection="1">
      <alignment vertical="center"/>
    </xf>
    <xf numFmtId="0" fontId="43" fillId="27" borderId="40" xfId="1" applyFont="1" applyFill="1" applyBorder="1" applyAlignment="1" applyProtection="1">
      <alignment vertical="center"/>
    </xf>
    <xf numFmtId="0" fontId="2" fillId="27" borderId="40" xfId="1" applyFont="1" applyFill="1" applyBorder="1" applyAlignment="1" applyProtection="1">
      <alignment horizontal="left" vertical="center"/>
    </xf>
    <xf numFmtId="0" fontId="43" fillId="27" borderId="40" xfId="1" applyFont="1" applyFill="1" applyBorder="1" applyAlignment="1" applyProtection="1">
      <alignment horizontal="left" vertical="center"/>
    </xf>
    <xf numFmtId="0" fontId="43" fillId="27" borderId="0" xfId="1" applyFont="1" applyFill="1" applyBorder="1" applyAlignment="1" applyProtection="1">
      <alignment horizontal="right" vertical="center"/>
    </xf>
    <xf numFmtId="0" fontId="4" fillId="0" borderId="34" xfId="1" applyFont="1" applyBorder="1" applyAlignment="1" applyProtection="1">
      <alignment horizontal="left" vertical="center"/>
    </xf>
    <xf numFmtId="0" fontId="4" fillId="0" borderId="35" xfId="1" applyFont="1" applyBorder="1" applyAlignment="1" applyProtection="1">
      <alignment horizontal="left" vertical="center"/>
    </xf>
    <xf numFmtId="0" fontId="47" fillId="0" borderId="0" xfId="70" applyFont="1" applyFill="1" applyBorder="1" applyAlignment="1" applyProtection="1">
      <alignment horizontal="center" vertical="center" wrapText="1"/>
    </xf>
    <xf numFmtId="0" fontId="47" fillId="0" borderId="44" xfId="69" applyFont="1" applyBorder="1" applyAlignment="1" applyProtection="1">
      <alignment horizontal="center" vertical="center" wrapText="1"/>
    </xf>
    <xf numFmtId="0" fontId="104" fillId="0" borderId="0" xfId="68" applyFont="1" applyBorder="1" applyAlignment="1" applyProtection="1">
      <alignment horizontal="center"/>
      <protection locked="0"/>
    </xf>
    <xf numFmtId="0" fontId="104" fillId="0" borderId="38" xfId="68" applyFont="1" applyBorder="1" applyAlignment="1" applyProtection="1">
      <alignment horizontal="center"/>
      <protection locked="0"/>
    </xf>
    <xf numFmtId="0" fontId="4" fillId="0" borderId="0" xfId="68" applyFont="1" applyBorder="1" applyAlignment="1" applyProtection="1">
      <alignment horizontal="center"/>
    </xf>
    <xf numFmtId="0" fontId="4" fillId="0" borderId="19" xfId="68" applyFont="1" applyBorder="1" applyAlignment="1" applyProtection="1">
      <alignment horizontal="center"/>
    </xf>
    <xf numFmtId="0" fontId="4" fillId="0" borderId="61" xfId="68" applyFont="1" applyBorder="1" applyAlignment="1" applyProtection="1">
      <alignment horizontal="center"/>
      <protection locked="0"/>
    </xf>
    <xf numFmtId="0" fontId="4" fillId="0" borderId="62" xfId="68" applyFont="1" applyBorder="1" applyAlignment="1" applyProtection="1">
      <alignment horizontal="center"/>
      <protection locked="0"/>
    </xf>
    <xf numFmtId="0" fontId="4" fillId="0" borderId="20" xfId="68" quotePrefix="1" applyFont="1" applyBorder="1" applyAlignment="1" applyProtection="1">
      <alignment horizontal="center"/>
    </xf>
    <xf numFmtId="0" fontId="4" fillId="0" borderId="60" xfId="68" applyFont="1" applyBorder="1" applyAlignment="1" applyProtection="1">
      <alignment horizontal="center"/>
      <protection locked="0"/>
    </xf>
    <xf numFmtId="0" fontId="5" fillId="25" borderId="37" xfId="68" applyFont="1" applyFill="1" applyBorder="1" applyAlignment="1" applyProtection="1">
      <alignment horizontal="left" vertical="center" indent="3"/>
    </xf>
    <xf numFmtId="0" fontId="5" fillId="25" borderId="38" xfId="68" applyFont="1" applyFill="1" applyBorder="1" applyAlignment="1" applyProtection="1">
      <alignment horizontal="left" vertical="center" indent="3"/>
    </xf>
    <xf numFmtId="0" fontId="5" fillId="25" borderId="107" xfId="68" applyFont="1" applyFill="1" applyBorder="1" applyAlignment="1" applyProtection="1">
      <alignment horizontal="left" vertical="center" indent="3"/>
    </xf>
    <xf numFmtId="0" fontId="5" fillId="25" borderId="61" xfId="68" applyFont="1" applyFill="1" applyBorder="1" applyAlignment="1" applyProtection="1">
      <alignment horizontal="left" vertical="center" indent="3"/>
    </xf>
    <xf numFmtId="0" fontId="5" fillId="25" borderId="151" xfId="68" applyFont="1" applyFill="1" applyBorder="1" applyAlignment="1" applyProtection="1">
      <alignment horizontal="left" vertical="center" indent="3"/>
    </xf>
    <xf numFmtId="0" fontId="4" fillId="0" borderId="60" xfId="68" applyFont="1" applyBorder="1" applyAlignment="1" applyProtection="1">
      <alignment horizontal="center"/>
    </xf>
    <xf numFmtId="0" fontId="4" fillId="0" borderId="61" xfId="68" applyFont="1" applyBorder="1" applyAlignment="1" applyProtection="1">
      <alignment horizontal="center"/>
    </xf>
    <xf numFmtId="0" fontId="4" fillId="0" borderId="62" xfId="68" applyFont="1" applyBorder="1" applyAlignment="1" applyProtection="1">
      <alignment horizontal="center"/>
    </xf>
    <xf numFmtId="0" fontId="4" fillId="0" borderId="20" xfId="68" applyFont="1" applyBorder="1" applyAlignment="1" applyProtection="1">
      <alignment horizontal="center"/>
      <protection locked="0"/>
    </xf>
    <xf numFmtId="0" fontId="4" fillId="0" borderId="0" xfId="68" applyFont="1" applyBorder="1" applyAlignment="1" applyProtection="1">
      <alignment horizontal="center"/>
      <protection locked="0"/>
    </xf>
    <xf numFmtId="0" fontId="4" fillId="0" borderId="19" xfId="68" applyFont="1" applyBorder="1" applyAlignment="1" applyProtection="1">
      <alignment horizontal="center"/>
      <protection locked="0"/>
    </xf>
    <xf numFmtId="0" fontId="131" fillId="0" borderId="37" xfId="68" applyFont="1" applyBorder="1" applyAlignment="1" applyProtection="1">
      <alignment horizontal="center"/>
      <protection locked="0"/>
    </xf>
    <xf numFmtId="0" fontId="131" fillId="0" borderId="0" xfId="68" applyFont="1" applyBorder="1" applyAlignment="1" applyProtection="1">
      <alignment horizontal="center"/>
      <protection locked="0"/>
    </xf>
    <xf numFmtId="0" fontId="131" fillId="0" borderId="19" xfId="68" applyFont="1" applyBorder="1" applyAlignment="1" applyProtection="1">
      <alignment horizontal="center"/>
      <protection locked="0"/>
    </xf>
    <xf numFmtId="0" fontId="131" fillId="0" borderId="63" xfId="68" applyFont="1" applyBorder="1" applyAlignment="1" applyProtection="1">
      <alignment horizontal="center"/>
      <protection locked="0"/>
    </xf>
    <xf numFmtId="167" fontId="2" fillId="0" borderId="12" xfId="74" applyNumberFormat="1" applyFont="1" applyBorder="1" applyAlignment="1" applyProtection="1">
      <alignment horizontal="center" vertical="center"/>
      <protection locked="0"/>
    </xf>
    <xf numFmtId="167" fontId="2" fillId="0" borderId="10" xfId="74" applyNumberFormat="1" applyFont="1" applyBorder="1" applyAlignment="1" applyProtection="1">
      <alignment horizontal="center" vertical="center"/>
      <protection locked="0"/>
    </xf>
    <xf numFmtId="167" fontId="2" fillId="0" borderId="12" xfId="74" applyNumberFormat="1" applyFont="1" applyBorder="1" applyAlignment="1" applyProtection="1">
      <alignment horizontal="center" vertical="center"/>
    </xf>
    <xf numFmtId="167" fontId="2" fillId="0" borderId="10" xfId="74" applyNumberFormat="1" applyFont="1" applyBorder="1" applyAlignment="1" applyProtection="1">
      <alignment horizontal="center" vertical="center"/>
    </xf>
    <xf numFmtId="1" fontId="2" fillId="0" borderId="12" xfId="74" applyNumberFormat="1" applyFont="1" applyBorder="1" applyAlignment="1" applyProtection="1">
      <alignment horizontal="center" vertical="center"/>
    </xf>
    <xf numFmtId="1" fontId="2" fillId="0" borderId="10" xfId="74" applyNumberFormat="1" applyFont="1" applyBorder="1" applyAlignment="1" applyProtection="1">
      <alignment horizontal="center" vertical="center"/>
    </xf>
    <xf numFmtId="1" fontId="43" fillId="0" borderId="12" xfId="74" applyNumberFormat="1" applyFont="1" applyBorder="1" applyAlignment="1" applyProtection="1">
      <alignment horizontal="center" vertical="center"/>
    </xf>
    <xf numFmtId="1" fontId="43" fillId="0" borderId="11" xfId="74" applyNumberFormat="1" applyFont="1" applyBorder="1" applyAlignment="1" applyProtection="1">
      <alignment horizontal="center" vertical="center"/>
    </xf>
    <xf numFmtId="1" fontId="43" fillId="0" borderId="10" xfId="74" applyNumberFormat="1" applyFont="1" applyBorder="1" applyAlignment="1" applyProtection="1">
      <alignment horizontal="center" vertical="center"/>
    </xf>
    <xf numFmtId="0" fontId="4" fillId="0" borderId="12" xfId="74" applyFont="1" applyBorder="1" applyAlignment="1" applyProtection="1">
      <alignment horizontal="left" vertical="center" wrapText="1"/>
    </xf>
    <xf numFmtId="0" fontId="4" fillId="0" borderId="11" xfId="74" applyFont="1" applyBorder="1" applyAlignment="1" applyProtection="1">
      <alignment horizontal="left" vertical="center" wrapText="1"/>
    </xf>
    <xf numFmtId="0" fontId="4" fillId="0" borderId="12" xfId="74" applyFont="1" applyBorder="1" applyAlignment="1" applyProtection="1">
      <alignment horizontal="left" vertical="center"/>
    </xf>
    <xf numFmtId="0" fontId="4" fillId="0" borderId="11" xfId="74" applyFont="1" applyBorder="1" applyAlignment="1" applyProtection="1">
      <alignment horizontal="left" vertical="center"/>
    </xf>
    <xf numFmtId="0" fontId="2" fillId="27" borderId="0" xfId="74" applyFont="1" applyFill="1" applyBorder="1" applyAlignment="1" applyProtection="1">
      <alignment horizontal="left" vertical="center" wrapText="1"/>
    </xf>
    <xf numFmtId="0" fontId="2" fillId="27" borderId="0" xfId="70" applyFont="1" applyFill="1" applyBorder="1" applyAlignment="1" applyProtection="1">
      <alignment horizontal="left" vertical="center" wrapText="1"/>
    </xf>
    <xf numFmtId="0" fontId="2" fillId="0" borderId="12" xfId="74" applyFont="1" applyBorder="1" applyAlignment="1" applyProtection="1">
      <alignment horizontal="center" vertical="center"/>
      <protection locked="0"/>
    </xf>
    <xf numFmtId="0" fontId="2" fillId="0" borderId="10" xfId="74" applyFont="1" applyBorder="1" applyAlignment="1" applyProtection="1">
      <alignment horizontal="center" vertical="center"/>
      <protection locked="0"/>
    </xf>
    <xf numFmtId="0" fontId="5" fillId="29" borderId="14" xfId="74" applyFont="1" applyFill="1" applyBorder="1" applyAlignment="1" applyProtection="1">
      <alignment horizontal="center" vertical="center"/>
      <protection locked="0"/>
    </xf>
    <xf numFmtId="0" fontId="5" fillId="29" borderId="13" xfId="74" applyFont="1" applyFill="1" applyBorder="1" applyAlignment="1" applyProtection="1">
      <alignment horizontal="center" vertical="center"/>
      <protection locked="0"/>
    </xf>
    <xf numFmtId="0" fontId="5" fillId="29" borderId="18" xfId="74" applyFont="1" applyFill="1" applyBorder="1" applyAlignment="1" applyProtection="1">
      <alignment horizontal="center" vertical="center"/>
      <protection locked="0"/>
    </xf>
    <xf numFmtId="0" fontId="4" fillId="0" borderId="14" xfId="74" applyFont="1" applyBorder="1" applyAlignment="1" applyProtection="1">
      <alignment horizontal="left" vertical="center"/>
    </xf>
    <xf numFmtId="0" fontId="4" fillId="0" borderId="13" xfId="74" applyFont="1" applyBorder="1" applyAlignment="1" applyProtection="1">
      <alignment horizontal="left" vertical="center"/>
    </xf>
    <xf numFmtId="0" fontId="5" fillId="29" borderId="12" xfId="74" applyFont="1" applyFill="1" applyBorder="1" applyAlignment="1" applyProtection="1">
      <alignment horizontal="center" vertical="center"/>
    </xf>
    <xf numFmtId="0" fontId="5" fillId="29" borderId="10" xfId="74" applyFont="1" applyFill="1" applyBorder="1" applyAlignment="1" applyProtection="1">
      <alignment horizontal="center" vertical="center"/>
    </xf>
    <xf numFmtId="1" fontId="5" fillId="29" borderId="12" xfId="74" applyNumberFormat="1" applyFont="1" applyFill="1" applyBorder="1" applyAlignment="1" applyProtection="1">
      <alignment horizontal="center" vertical="center"/>
    </xf>
    <xf numFmtId="1" fontId="5" fillId="29" borderId="10" xfId="74" applyNumberFormat="1" applyFont="1" applyFill="1" applyBorder="1" applyAlignment="1" applyProtection="1">
      <alignment horizontal="center" vertical="center"/>
    </xf>
    <xf numFmtId="1" fontId="2" fillId="0" borderId="17" xfId="74" applyNumberFormat="1" applyFont="1" applyBorder="1" applyAlignment="1" applyProtection="1">
      <alignment horizontal="left" vertical="center"/>
    </xf>
    <xf numFmtId="0" fontId="4" fillId="0" borderId="14" xfId="74" applyFont="1" applyBorder="1" applyAlignment="1" applyProtection="1">
      <alignment horizontal="left" vertical="center" wrapText="1"/>
    </xf>
    <xf numFmtId="0" fontId="4" fillId="0" borderId="13" xfId="74" applyFont="1" applyBorder="1" applyAlignment="1" applyProtection="1">
      <alignment horizontal="left" vertical="center" wrapText="1"/>
    </xf>
    <xf numFmtId="0" fontId="5" fillId="0" borderId="20" xfId="74" applyFont="1" applyBorder="1" applyAlignment="1" applyProtection="1">
      <alignment horizontal="center" vertical="center" wrapText="1"/>
    </xf>
    <xf numFmtId="0" fontId="5" fillId="0" borderId="0" xfId="74" applyFont="1" applyBorder="1" applyAlignment="1" applyProtection="1">
      <alignment horizontal="center" vertical="center" wrapText="1"/>
    </xf>
    <xf numFmtId="0" fontId="5" fillId="0" borderId="19" xfId="74" applyFont="1" applyBorder="1" applyAlignment="1" applyProtection="1">
      <alignment horizontal="center" vertical="center" wrapText="1"/>
    </xf>
    <xf numFmtId="0" fontId="5" fillId="0" borderId="16" xfId="74" applyFont="1" applyBorder="1" applyAlignment="1" applyProtection="1">
      <alignment horizontal="center" vertical="center" wrapText="1"/>
    </xf>
    <xf numFmtId="0" fontId="5" fillId="0" borderId="17" xfId="74" applyFont="1" applyBorder="1" applyAlignment="1" applyProtection="1">
      <alignment horizontal="center" vertical="center" wrapText="1"/>
    </xf>
    <xf numFmtId="0" fontId="5" fillId="0" borderId="15" xfId="74" applyFont="1" applyBorder="1" applyAlignment="1" applyProtection="1">
      <alignment horizontal="center" vertical="center" wrapText="1"/>
    </xf>
    <xf numFmtId="0" fontId="140" fillId="27" borderId="12" xfId="74" applyFont="1" applyFill="1" applyBorder="1" applyAlignment="1" applyProtection="1">
      <alignment horizontal="left" vertical="center"/>
    </xf>
    <xf numFmtId="0" fontId="140" fillId="27" borderId="11" xfId="74" applyFont="1" applyFill="1" applyBorder="1" applyAlignment="1" applyProtection="1">
      <alignment horizontal="left" vertical="center"/>
    </xf>
    <xf numFmtId="0" fontId="140" fillId="27" borderId="10" xfId="74" applyFont="1" applyFill="1" applyBorder="1" applyAlignment="1" applyProtection="1">
      <alignment horizontal="left" vertical="center"/>
    </xf>
    <xf numFmtId="0" fontId="140" fillId="0" borderId="152" xfId="74" applyFont="1" applyBorder="1" applyAlignment="1" applyProtection="1">
      <alignment horizontal="left" vertical="center"/>
    </xf>
    <xf numFmtId="0" fontId="140" fillId="0" borderId="149" xfId="74" applyFont="1" applyBorder="1" applyAlignment="1" applyProtection="1">
      <alignment horizontal="left" vertical="center"/>
    </xf>
    <xf numFmtId="0" fontId="140" fillId="0" borderId="153" xfId="74" applyFont="1" applyBorder="1" applyAlignment="1" applyProtection="1">
      <alignment horizontal="left" vertical="center"/>
    </xf>
    <xf numFmtId="0" fontId="1" fillId="0" borderId="14" xfId="68" applyFont="1" applyBorder="1" applyAlignment="1" applyProtection="1">
      <alignment horizontal="center"/>
    </xf>
    <xf numFmtId="0" fontId="1" fillId="0" borderId="13" xfId="68" applyFont="1" applyBorder="1" applyAlignment="1" applyProtection="1">
      <alignment horizontal="center"/>
    </xf>
    <xf numFmtId="0" fontId="1" fillId="0" borderId="18" xfId="68" applyFont="1" applyBorder="1" applyAlignment="1" applyProtection="1">
      <alignment horizontal="center"/>
    </xf>
    <xf numFmtId="0" fontId="1" fillId="0" borderId="20" xfId="68" applyFont="1" applyBorder="1" applyAlignment="1" applyProtection="1">
      <alignment horizontal="center"/>
    </xf>
    <xf numFmtId="0" fontId="1" fillId="0" borderId="0" xfId="68" applyFont="1" applyBorder="1" applyAlignment="1" applyProtection="1">
      <alignment horizontal="center"/>
    </xf>
    <xf numFmtId="0" fontId="1" fillId="0" borderId="19" xfId="68" applyFont="1" applyBorder="1" applyAlignment="1" applyProtection="1">
      <alignment horizontal="center"/>
    </xf>
    <xf numFmtId="0" fontId="1" fillId="0" borderId="16" xfId="68" applyFont="1" applyBorder="1" applyAlignment="1" applyProtection="1">
      <alignment horizontal="center"/>
    </xf>
    <xf numFmtId="0" fontId="1" fillId="0" borderId="17" xfId="68" applyFont="1" applyBorder="1" applyAlignment="1" applyProtection="1">
      <alignment horizontal="center"/>
    </xf>
    <xf numFmtId="0" fontId="1" fillId="0" borderId="15" xfId="68" applyFont="1" applyBorder="1" applyAlignment="1" applyProtection="1">
      <alignment horizontal="center"/>
    </xf>
    <xf numFmtId="0" fontId="5" fillId="0" borderId="14" xfId="68" applyFont="1" applyBorder="1" applyAlignment="1" applyProtection="1">
      <alignment horizontal="center" vertical="center"/>
    </xf>
    <xf numFmtId="0" fontId="5" fillId="0" borderId="13" xfId="68" applyFont="1" applyBorder="1" applyAlignment="1" applyProtection="1">
      <alignment horizontal="center" vertical="center"/>
    </xf>
    <xf numFmtId="0" fontId="5" fillId="0" borderId="18" xfId="68" applyFont="1" applyBorder="1" applyAlignment="1" applyProtection="1">
      <alignment horizontal="center" vertical="center"/>
    </xf>
    <xf numFmtId="0" fontId="5" fillId="25" borderId="20" xfId="68" applyFont="1" applyFill="1" applyBorder="1" applyAlignment="1" applyProtection="1">
      <alignment horizontal="center"/>
    </xf>
    <xf numFmtId="0" fontId="5" fillId="25" borderId="0" xfId="68" applyFont="1" applyFill="1" applyBorder="1" applyAlignment="1" applyProtection="1">
      <alignment horizontal="center"/>
    </xf>
    <xf numFmtId="0" fontId="5" fillId="25" borderId="19" xfId="68" applyFont="1" applyFill="1" applyBorder="1" applyAlignment="1" applyProtection="1">
      <alignment horizontal="center"/>
    </xf>
    <xf numFmtId="0" fontId="4" fillId="27" borderId="13" xfId="74" applyFont="1" applyFill="1" applyBorder="1" applyAlignment="1" applyProtection="1">
      <alignment horizontal="left" vertical="top" wrapText="1"/>
      <protection locked="0"/>
    </xf>
    <xf numFmtId="0" fontId="4" fillId="27" borderId="18" xfId="74" applyFont="1" applyFill="1" applyBorder="1" applyAlignment="1" applyProtection="1">
      <alignment horizontal="left" vertical="top" wrapText="1"/>
      <protection locked="0"/>
    </xf>
    <xf numFmtId="0" fontId="5" fillId="25" borderId="37" xfId="74" applyFont="1" applyFill="1" applyBorder="1" applyAlignment="1" applyProtection="1">
      <alignment horizontal="center"/>
      <protection locked="0"/>
    </xf>
    <xf numFmtId="0" fontId="5" fillId="25" borderId="0" xfId="74" applyFont="1" applyFill="1" applyBorder="1" applyAlignment="1" applyProtection="1">
      <alignment horizontal="center"/>
      <protection locked="0"/>
    </xf>
    <xf numFmtId="0" fontId="5" fillId="25" borderId="38" xfId="74" applyFont="1" applyFill="1" applyBorder="1" applyAlignment="1" applyProtection="1">
      <alignment horizontal="center"/>
      <protection locked="0"/>
    </xf>
    <xf numFmtId="0" fontId="5" fillId="27" borderId="14" xfId="74" applyFont="1" applyFill="1" applyBorder="1" applyAlignment="1" applyProtection="1">
      <alignment horizontal="center" vertical="top" wrapText="1"/>
    </xf>
    <xf numFmtId="0" fontId="5" fillId="27" borderId="13" xfId="74" applyFont="1" applyFill="1" applyBorder="1" applyAlignment="1" applyProtection="1">
      <alignment horizontal="center" vertical="top" wrapText="1"/>
    </xf>
    <xf numFmtId="0" fontId="43" fillId="27" borderId="35" xfId="0" applyFont="1" applyFill="1" applyBorder="1" applyAlignment="1" applyProtection="1">
      <alignment vertical="center"/>
    </xf>
    <xf numFmtId="0" fontId="43" fillId="27" borderId="0" xfId="74" applyFont="1" applyFill="1" applyBorder="1" applyAlignment="1" applyProtection="1">
      <alignment vertical="center"/>
    </xf>
    <xf numFmtId="0" fontId="43" fillId="0" borderId="17" xfId="74" applyFont="1" applyBorder="1" applyAlignment="1" applyProtection="1">
      <alignment vertical="center"/>
      <protection locked="0"/>
    </xf>
    <xf numFmtId="0" fontId="43" fillId="27" borderId="137" xfId="0" applyFont="1" applyFill="1" applyBorder="1" applyAlignment="1" applyProtection="1">
      <alignment vertical="center"/>
    </xf>
    <xf numFmtId="168" fontId="2" fillId="27" borderId="0" xfId="74" applyNumberFormat="1" applyFont="1" applyFill="1" applyBorder="1" applyAlignment="1" applyProtection="1">
      <alignment horizontal="left" vertical="center"/>
    </xf>
    <xf numFmtId="168" fontId="2" fillId="27" borderId="19" xfId="74" applyNumberFormat="1" applyFont="1" applyFill="1" applyBorder="1" applyAlignment="1" applyProtection="1">
      <alignment horizontal="left" vertical="center"/>
    </xf>
    <xf numFmtId="168" fontId="2" fillId="27" borderId="0" xfId="74" applyNumberFormat="1" applyFont="1" applyFill="1" applyBorder="1" applyAlignment="1" applyProtection="1">
      <alignment horizontal="left" vertical="center"/>
      <protection locked="0"/>
    </xf>
    <xf numFmtId="168" fontId="2" fillId="27" borderId="19" xfId="74" applyNumberFormat="1" applyFont="1" applyFill="1" applyBorder="1" applyAlignment="1" applyProtection="1">
      <alignment horizontal="left" vertical="center"/>
      <protection locked="0"/>
    </xf>
    <xf numFmtId="168" fontId="2" fillId="27" borderId="17" xfId="74" applyNumberFormat="1" applyFont="1" applyFill="1" applyBorder="1" applyAlignment="1" applyProtection="1">
      <alignment horizontal="left" vertical="center"/>
    </xf>
    <xf numFmtId="168" fontId="2" fillId="27" borderId="15" xfId="74" applyNumberFormat="1" applyFont="1" applyFill="1" applyBorder="1" applyAlignment="1" applyProtection="1">
      <alignment horizontal="left" vertical="center"/>
    </xf>
    <xf numFmtId="0" fontId="4" fillId="27" borderId="373" xfId="71" applyFont="1" applyFill="1" applyBorder="1" applyAlignment="1" applyProtection="1">
      <alignment horizontal="left" vertical="center"/>
      <protection locked="0"/>
    </xf>
    <xf numFmtId="0" fontId="4" fillId="27" borderId="387" xfId="71" applyFont="1" applyFill="1" applyBorder="1" applyAlignment="1" applyProtection="1">
      <alignment horizontal="left" vertical="center" wrapText="1"/>
    </xf>
    <xf numFmtId="0" fontId="4" fillId="27" borderId="388" xfId="71" applyFont="1" applyFill="1" applyBorder="1" applyAlignment="1" applyProtection="1">
      <alignment horizontal="left" vertical="center" wrapText="1"/>
    </xf>
    <xf numFmtId="0" fontId="4" fillId="27" borderId="389" xfId="71" applyFont="1" applyFill="1" applyBorder="1" applyAlignment="1" applyProtection="1">
      <alignment horizontal="left" vertical="center" wrapText="1"/>
    </xf>
    <xf numFmtId="0" fontId="4" fillId="27" borderId="390" xfId="71" applyFont="1" applyFill="1" applyBorder="1" applyAlignment="1" applyProtection="1">
      <alignment horizontal="left" vertical="center" wrapText="1"/>
    </xf>
    <xf numFmtId="0" fontId="1" fillId="0" borderId="10" xfId="71" applyFont="1" applyBorder="1" applyAlignment="1" applyProtection="1">
      <alignment horizontal="center"/>
    </xf>
    <xf numFmtId="0" fontId="1" fillId="0" borderId="57" xfId="71" applyFont="1" applyBorder="1" applyAlignment="1" applyProtection="1">
      <alignment horizontal="center"/>
    </xf>
    <xf numFmtId="0" fontId="5" fillId="0" borderId="14" xfId="71" applyFont="1" applyBorder="1" applyAlignment="1" applyProtection="1">
      <alignment horizontal="center" vertical="center" wrapText="1"/>
    </xf>
    <xf numFmtId="0" fontId="5" fillId="0" borderId="13" xfId="71" applyFont="1" applyBorder="1" applyAlignment="1" applyProtection="1">
      <alignment horizontal="center" vertical="center" wrapText="1"/>
    </xf>
    <xf numFmtId="0" fontId="5" fillId="0" borderId="18" xfId="71" applyFont="1" applyBorder="1" applyAlignment="1" applyProtection="1">
      <alignment horizontal="center" vertical="center" wrapText="1"/>
    </xf>
    <xf numFmtId="0" fontId="5" fillId="0" borderId="20" xfId="71" applyFont="1" applyBorder="1" applyAlignment="1" applyProtection="1">
      <alignment horizontal="center" vertical="center" wrapText="1"/>
    </xf>
    <xf numFmtId="0" fontId="5" fillId="0" borderId="0" xfId="71" applyFont="1" applyBorder="1" applyAlignment="1" applyProtection="1">
      <alignment horizontal="center" vertical="center" wrapText="1"/>
    </xf>
    <xf numFmtId="0" fontId="5" fillId="0" borderId="19" xfId="71" applyFont="1" applyBorder="1" applyAlignment="1" applyProtection="1">
      <alignment horizontal="center" vertical="center" wrapText="1"/>
    </xf>
    <xf numFmtId="0" fontId="5" fillId="0" borderId="16" xfId="71" applyFont="1" applyBorder="1" applyAlignment="1" applyProtection="1">
      <alignment horizontal="center" vertical="center" wrapText="1"/>
    </xf>
    <xf numFmtId="0" fontId="5" fillId="0" borderId="347" xfId="71" applyFont="1" applyBorder="1" applyAlignment="1" applyProtection="1">
      <alignment horizontal="center" vertical="center" wrapText="1"/>
    </xf>
    <xf numFmtId="0" fontId="5" fillId="0" borderId="15" xfId="71" applyFont="1" applyBorder="1" applyAlignment="1" applyProtection="1">
      <alignment horizontal="center" vertical="center" wrapText="1"/>
    </xf>
    <xf numFmtId="0" fontId="140" fillId="0" borderId="12" xfId="71" applyFont="1" applyBorder="1" applyAlignment="1" applyProtection="1">
      <alignment horizontal="left" vertical="center"/>
    </xf>
    <xf numFmtId="0" fontId="140" fillId="0" borderId="11" xfId="71" applyFont="1" applyBorder="1" applyAlignment="1" applyProtection="1">
      <alignment horizontal="left" vertical="center"/>
    </xf>
    <xf numFmtId="0" fontId="140" fillId="0" borderId="10" xfId="71" applyFont="1" applyBorder="1" applyAlignment="1" applyProtection="1">
      <alignment horizontal="left" vertical="center"/>
    </xf>
    <xf numFmtId="0" fontId="43" fillId="27" borderId="14" xfId="71" applyFont="1" applyFill="1" applyBorder="1" applyAlignment="1" applyProtection="1">
      <alignment vertical="center"/>
    </xf>
    <xf numFmtId="0" fontId="43" fillId="27" borderId="13" xfId="71" applyFont="1" applyFill="1" applyBorder="1" applyAlignment="1" applyProtection="1">
      <alignment vertical="center"/>
    </xf>
    <xf numFmtId="0" fontId="155" fillId="27" borderId="13" xfId="68" applyFont="1" applyFill="1" applyBorder="1" applyAlignment="1" applyProtection="1">
      <alignment horizontal="left" vertical="center"/>
    </xf>
    <xf numFmtId="0" fontId="43" fillId="27" borderId="13" xfId="71" applyFont="1" applyFill="1" applyBorder="1" applyAlignment="1" applyProtection="1">
      <alignment vertical="center" wrapText="1"/>
    </xf>
    <xf numFmtId="0" fontId="2" fillId="27" borderId="13" xfId="71" applyFont="1" applyFill="1" applyBorder="1" applyAlignment="1" applyProtection="1">
      <alignment horizontal="left" vertical="center" wrapText="1"/>
      <protection locked="0"/>
    </xf>
    <xf numFmtId="0" fontId="43" fillId="27" borderId="20" xfId="71" applyFont="1" applyFill="1" applyBorder="1" applyAlignment="1" applyProtection="1">
      <alignment vertical="center" wrapText="1"/>
    </xf>
    <xf numFmtId="0" fontId="43" fillId="27" borderId="0" xfId="71" applyFont="1" applyFill="1" applyBorder="1" applyAlignment="1" applyProtection="1">
      <alignment vertical="center" wrapText="1"/>
    </xf>
    <xf numFmtId="0" fontId="2" fillId="2" borderId="0" xfId="150" applyFont="1" applyFill="1" applyBorder="1" applyAlignment="1" applyProtection="1">
      <alignment horizontal="left" vertical="center"/>
    </xf>
    <xf numFmtId="0" fontId="2" fillId="2" borderId="0" xfId="210" applyFont="1" applyFill="1" applyBorder="1" applyAlignment="1" applyProtection="1">
      <alignment horizontal="left"/>
    </xf>
    <xf numFmtId="0" fontId="2" fillId="27" borderId="0" xfId="71" applyFont="1" applyFill="1" applyBorder="1" applyAlignment="1" applyProtection="1">
      <alignment horizontal="left" wrapText="1"/>
    </xf>
    <xf numFmtId="0" fontId="43" fillId="27" borderId="0" xfId="71" applyFont="1" applyFill="1" applyBorder="1" applyAlignment="1" applyProtection="1">
      <alignment vertical="center"/>
    </xf>
    <xf numFmtId="168" fontId="2" fillId="27" borderId="0" xfId="71" applyNumberFormat="1" applyFont="1" applyFill="1" applyBorder="1" applyAlignment="1" applyProtection="1">
      <alignment horizontal="left" vertical="center" wrapText="1"/>
    </xf>
    <xf numFmtId="0" fontId="43" fillId="27" borderId="16" xfId="71" applyFont="1" applyFill="1" applyBorder="1" applyAlignment="1" applyProtection="1">
      <alignment vertical="center" wrapText="1"/>
    </xf>
    <xf numFmtId="0" fontId="43" fillId="27" borderId="347" xfId="71" applyFont="1" applyFill="1" applyBorder="1" applyAlignment="1" applyProtection="1">
      <alignment vertical="center" wrapText="1"/>
    </xf>
    <xf numFmtId="168" fontId="2" fillId="27" borderId="347" xfId="71" applyNumberFormat="1" applyFont="1" applyFill="1" applyBorder="1" applyAlignment="1" applyProtection="1">
      <alignment horizontal="left" vertical="center" wrapText="1"/>
    </xf>
    <xf numFmtId="0" fontId="43" fillId="27" borderId="20" xfId="150" applyFont="1" applyFill="1" applyBorder="1" applyAlignment="1" applyProtection="1">
      <alignment horizontal="left" vertical="center"/>
    </xf>
    <xf numFmtId="0" fontId="43" fillId="27" borderId="0" xfId="150" applyFont="1" applyFill="1" applyBorder="1" applyAlignment="1" applyProtection="1">
      <alignment horizontal="left" vertical="center"/>
    </xf>
    <xf numFmtId="0" fontId="2" fillId="2" borderId="0" xfId="150" applyFont="1" applyFill="1" applyBorder="1" applyAlignment="1" applyProtection="1">
      <alignment horizontal="left" vertical="center" wrapText="1"/>
    </xf>
    <xf numFmtId="0" fontId="43" fillId="27" borderId="0" xfId="150" applyFont="1" applyFill="1" applyBorder="1" applyAlignment="1" applyProtection="1">
      <alignment vertical="center"/>
    </xf>
    <xf numFmtId="0" fontId="2" fillId="2" borderId="347" xfId="150" applyFont="1" applyFill="1" applyBorder="1" applyAlignment="1" applyProtection="1">
      <alignment vertical="center"/>
    </xf>
    <xf numFmtId="0" fontId="43" fillId="27" borderId="347" xfId="150" applyFont="1" applyFill="1" applyBorder="1" applyAlignment="1" applyProtection="1">
      <alignment vertical="center"/>
    </xf>
    <xf numFmtId="0" fontId="4" fillId="0" borderId="57" xfId="71" applyFont="1" applyFill="1" applyBorder="1" applyAlignment="1" applyProtection="1">
      <alignment horizontal="center"/>
      <protection locked="0"/>
    </xf>
    <xf numFmtId="0" fontId="4" fillId="27" borderId="370" xfId="71" applyFont="1" applyFill="1" applyBorder="1" applyAlignment="1" applyProtection="1">
      <alignment vertical="center"/>
    </xf>
    <xf numFmtId="0" fontId="4" fillId="27" borderId="371" xfId="71" applyFont="1" applyFill="1" applyBorder="1" applyAlignment="1" applyProtection="1">
      <alignment vertical="center"/>
    </xf>
    <xf numFmtId="0" fontId="4" fillId="27" borderId="373" xfId="71" applyFont="1" applyFill="1" applyBorder="1" applyAlignment="1" applyProtection="1">
      <alignment horizontal="center" vertical="center"/>
      <protection locked="0"/>
    </xf>
    <xf numFmtId="0" fontId="138" fillId="0" borderId="57" xfId="71" applyFont="1" applyFill="1" applyBorder="1" applyAlignment="1" applyProtection="1">
      <alignment horizontal="center" wrapText="1"/>
      <protection locked="0"/>
    </xf>
    <xf numFmtId="0" fontId="4" fillId="0" borderId="57" xfId="71" applyFont="1" applyFill="1" applyBorder="1" applyAlignment="1" applyProtection="1">
      <alignment horizontal="center" wrapText="1"/>
      <protection locked="0"/>
    </xf>
    <xf numFmtId="0" fontId="5" fillId="25" borderId="12" xfId="71" applyFont="1" applyFill="1" applyBorder="1" applyAlignment="1" applyProtection="1">
      <alignment horizontal="center" vertical="center" wrapText="1"/>
    </xf>
    <xf numFmtId="0" fontId="5" fillId="25" borderId="11" xfId="71" applyFont="1" applyFill="1" applyBorder="1" applyAlignment="1" applyProtection="1">
      <alignment horizontal="center" vertical="center" wrapText="1"/>
    </xf>
    <xf numFmtId="0" fontId="5" fillId="25" borderId="10" xfId="71" applyFont="1" applyFill="1" applyBorder="1" applyAlignment="1" applyProtection="1">
      <alignment horizontal="center" vertical="center" wrapText="1"/>
    </xf>
    <xf numFmtId="0" fontId="4" fillId="27" borderId="14" xfId="71" applyFont="1" applyFill="1" applyBorder="1" applyAlignment="1" applyProtection="1">
      <alignment horizontal="left" vertical="center"/>
    </xf>
    <xf numFmtId="0" fontId="4" fillId="27" borderId="13" xfId="71" applyFont="1" applyFill="1" applyBorder="1" applyAlignment="1" applyProtection="1">
      <alignment horizontal="left" vertical="center"/>
    </xf>
    <xf numFmtId="0" fontId="4" fillId="27" borderId="30" xfId="71" applyFont="1" applyFill="1" applyBorder="1" applyAlignment="1" applyProtection="1">
      <alignment horizontal="center" vertical="center"/>
      <protection locked="0"/>
    </xf>
    <xf numFmtId="0" fontId="4" fillId="0" borderId="370" xfId="71" applyFont="1" applyFill="1" applyBorder="1" applyAlignment="1" applyProtection="1">
      <alignment vertical="center" wrapText="1"/>
    </xf>
    <xf numFmtId="0" fontId="4" fillId="0" borderId="371" xfId="71" applyFont="1" applyFill="1" applyBorder="1" applyAlignment="1" applyProtection="1">
      <alignment vertical="center" wrapText="1"/>
    </xf>
    <xf numFmtId="1" fontId="4" fillId="0" borderId="373" xfId="71" applyNumberFormat="1" applyFont="1" applyFill="1" applyBorder="1" applyAlignment="1" applyProtection="1">
      <alignment horizontal="center" vertical="center"/>
      <protection locked="0"/>
    </xf>
    <xf numFmtId="0" fontId="4" fillId="27" borderId="370" xfId="71" applyFont="1" applyFill="1" applyBorder="1" applyAlignment="1" applyProtection="1">
      <alignment horizontal="left" vertical="center" wrapText="1"/>
    </xf>
    <xf numFmtId="0" fontId="4" fillId="27" borderId="371" xfId="71" applyFont="1" applyFill="1" applyBorder="1" applyAlignment="1" applyProtection="1">
      <alignment horizontal="left" vertical="center" wrapText="1"/>
    </xf>
    <xf numFmtId="0" fontId="4" fillId="27" borderId="370" xfId="71" applyFont="1" applyFill="1" applyBorder="1" applyAlignment="1" applyProtection="1">
      <alignment horizontal="left" vertical="center"/>
    </xf>
    <xf numFmtId="0" fontId="4" fillId="27" borderId="371" xfId="71" applyFont="1" applyFill="1" applyBorder="1" applyAlignment="1" applyProtection="1">
      <alignment horizontal="left" vertical="center"/>
    </xf>
    <xf numFmtId="0" fontId="4" fillId="27" borderId="372" xfId="71" applyFont="1" applyFill="1" applyBorder="1" applyAlignment="1" applyProtection="1">
      <alignment horizontal="left" vertical="center"/>
    </xf>
    <xf numFmtId="0" fontId="190" fillId="25" borderId="14" xfId="71" applyFont="1" applyFill="1" applyBorder="1" applyAlignment="1" applyProtection="1">
      <alignment horizontal="left" vertical="center"/>
    </xf>
    <xf numFmtId="0" fontId="190" fillId="25" borderId="18" xfId="71" applyFont="1" applyFill="1" applyBorder="1" applyAlignment="1" applyProtection="1">
      <alignment horizontal="left" vertical="center"/>
    </xf>
    <xf numFmtId="0" fontId="3" fillId="25" borderId="14" xfId="68" applyFont="1" applyFill="1" applyBorder="1" applyAlignment="1" applyProtection="1">
      <alignment horizontal="center" vertical="center"/>
    </xf>
    <xf numFmtId="0" fontId="3" fillId="25" borderId="13" xfId="68" applyFont="1" applyFill="1" applyBorder="1" applyAlignment="1" applyProtection="1">
      <alignment horizontal="center" vertical="center"/>
    </xf>
    <xf numFmtId="0" fontId="3" fillId="25" borderId="18" xfId="68" applyFont="1" applyFill="1" applyBorder="1" applyAlignment="1" applyProtection="1">
      <alignment horizontal="center" vertical="center"/>
    </xf>
    <xf numFmtId="167" fontId="4" fillId="0" borderId="373" xfId="71" applyNumberFormat="1" applyFont="1" applyFill="1" applyBorder="1" applyAlignment="1" applyProtection="1">
      <alignment horizontal="center" vertical="center"/>
      <protection locked="0"/>
    </xf>
    <xf numFmtId="0" fontId="4" fillId="0" borderId="16" xfId="71" applyFont="1" applyFill="1" applyBorder="1" applyAlignment="1" applyProtection="1">
      <alignment vertical="center" wrapText="1"/>
    </xf>
    <xf numFmtId="0" fontId="4" fillId="0" borderId="347" xfId="71" applyFont="1" applyFill="1" applyBorder="1" applyAlignment="1" applyProtection="1">
      <alignment vertical="center" wrapText="1"/>
    </xf>
    <xf numFmtId="167" fontId="5" fillId="0" borderId="64" xfId="71" applyNumberFormat="1" applyFont="1" applyBorder="1" applyAlignment="1" applyProtection="1">
      <alignment horizontal="center" vertical="center"/>
    </xf>
    <xf numFmtId="0" fontId="3" fillId="27" borderId="347" xfId="71" applyFont="1" applyFill="1" applyBorder="1" applyAlignment="1" applyProtection="1">
      <alignment horizontal="left" vertical="top" wrapText="1"/>
    </xf>
    <xf numFmtId="0" fontId="3" fillId="27" borderId="11" xfId="71" applyFont="1" applyFill="1" applyBorder="1" applyAlignment="1" applyProtection="1">
      <alignment horizontal="left" vertical="top" wrapText="1"/>
    </xf>
    <xf numFmtId="0" fontId="3" fillId="27" borderId="15" xfId="71" applyFont="1" applyFill="1" applyBorder="1" applyAlignment="1" applyProtection="1">
      <alignment horizontal="left" vertical="top" wrapText="1"/>
    </xf>
    <xf numFmtId="0" fontId="3" fillId="0" borderId="12" xfId="71" applyFont="1" applyFill="1" applyBorder="1" applyAlignment="1" applyProtection="1">
      <alignment horizontal="center" vertical="top"/>
    </xf>
    <xf numFmtId="0" fontId="3" fillId="0" borderId="11" xfId="71" applyFont="1" applyFill="1" applyBorder="1" applyAlignment="1" applyProtection="1">
      <alignment horizontal="center" vertical="top"/>
    </xf>
    <xf numFmtId="0" fontId="49" fillId="0" borderId="11" xfId="211" applyFont="1" applyBorder="1" applyAlignment="1" applyProtection="1">
      <alignment horizontal="center"/>
      <protection locked="0"/>
    </xf>
    <xf numFmtId="0" fontId="49" fillId="0" borderId="10" xfId="211" applyFont="1" applyBorder="1" applyAlignment="1" applyProtection="1">
      <alignment horizontal="center"/>
      <protection locked="0"/>
    </xf>
    <xf numFmtId="0" fontId="43" fillId="0" borderId="20" xfId="68" applyFont="1" applyBorder="1" applyAlignment="1" applyProtection="1"/>
    <xf numFmtId="0" fontId="43" fillId="0" borderId="19" xfId="68" applyFont="1" applyBorder="1" applyAlignment="1" applyProtection="1"/>
    <xf numFmtId="0" fontId="55" fillId="0" borderId="20" xfId="68" applyFont="1" applyBorder="1" applyAlignment="1" applyProtection="1">
      <alignment horizontal="center"/>
    </xf>
    <xf numFmtId="0" fontId="55" fillId="0" borderId="0" xfId="68" applyFont="1" applyBorder="1" applyAlignment="1" applyProtection="1">
      <alignment horizontal="center"/>
    </xf>
    <xf numFmtId="0" fontId="55" fillId="0" borderId="19" xfId="68" applyFont="1" applyBorder="1" applyAlignment="1" applyProtection="1">
      <alignment horizontal="center"/>
    </xf>
    <xf numFmtId="0" fontId="43" fillId="0" borderId="20" xfId="68" applyFont="1" applyBorder="1" applyAlignment="1" applyProtection="1">
      <alignment vertical="center"/>
      <protection locked="0"/>
    </xf>
    <xf numFmtId="0" fontId="43" fillId="0" borderId="19" xfId="68" applyFont="1" applyBorder="1" applyAlignment="1" applyProtection="1">
      <alignment vertical="center"/>
      <protection locked="0"/>
    </xf>
    <xf numFmtId="0" fontId="1" fillId="0" borderId="20" xfId="68" quotePrefix="1" applyFont="1" applyBorder="1" applyAlignment="1" applyProtection="1">
      <alignment horizontal="center"/>
      <protection locked="0"/>
    </xf>
    <xf numFmtId="0" fontId="1" fillId="0" borderId="0" xfId="68" applyFont="1" applyBorder="1" applyAlignment="1" applyProtection="1">
      <alignment horizontal="center"/>
      <protection locked="0"/>
    </xf>
    <xf numFmtId="0" fontId="1" fillId="0" borderId="19" xfId="68" applyFont="1" applyBorder="1" applyAlignment="1" applyProtection="1">
      <alignment horizontal="center"/>
      <protection locked="0"/>
    </xf>
    <xf numFmtId="0" fontId="55" fillId="0" borderId="20" xfId="68" quotePrefix="1" applyFont="1" applyBorder="1" applyAlignment="1" applyProtection="1">
      <alignment horizontal="center"/>
      <protection locked="0"/>
    </xf>
    <xf numFmtId="0" fontId="55" fillId="0" borderId="0" xfId="68" applyFont="1" applyBorder="1" applyAlignment="1" applyProtection="1">
      <alignment horizontal="center"/>
      <protection locked="0"/>
    </xf>
    <xf numFmtId="0" fontId="55" fillId="0" borderId="19" xfId="68" applyFont="1" applyBorder="1" applyAlignment="1" applyProtection="1">
      <alignment horizontal="center"/>
      <protection locked="0"/>
    </xf>
    <xf numFmtId="0" fontId="55" fillId="0" borderId="0" xfId="68" quotePrefix="1" applyFont="1" applyBorder="1" applyAlignment="1" applyProtection="1">
      <alignment horizontal="center"/>
      <protection locked="0"/>
    </xf>
    <xf numFmtId="0" fontId="1" fillId="0" borderId="20" xfId="68" applyFont="1" applyBorder="1" applyAlignment="1" applyProtection="1">
      <alignment horizontal="center"/>
      <protection locked="0"/>
    </xf>
    <xf numFmtId="0" fontId="55" fillId="0" borderId="20" xfId="68" applyFont="1" applyBorder="1" applyAlignment="1" applyProtection="1">
      <alignment horizontal="center"/>
      <protection locked="0"/>
    </xf>
    <xf numFmtId="0" fontId="47" fillId="0" borderId="65" xfId="69" applyFont="1" applyBorder="1" applyAlignment="1" applyProtection="1">
      <alignment horizontal="center" wrapText="1"/>
    </xf>
    <xf numFmtId="0" fontId="1" fillId="0" borderId="0" xfId="68" quotePrefix="1" applyFont="1" applyBorder="1" applyAlignment="1" applyProtection="1">
      <alignment horizontal="center"/>
      <protection locked="0"/>
    </xf>
    <xf numFmtId="0" fontId="1" fillId="0" borderId="19" xfId="68" quotePrefix="1" applyFont="1" applyBorder="1" applyAlignment="1" applyProtection="1">
      <alignment horizontal="center"/>
      <protection locked="0"/>
    </xf>
    <xf numFmtId="0" fontId="55" fillId="0" borderId="19" xfId="68" quotePrefix="1" applyFont="1" applyBorder="1" applyAlignment="1" applyProtection="1">
      <alignment horizontal="center"/>
      <protection locked="0"/>
    </xf>
    <xf numFmtId="0" fontId="43" fillId="0" borderId="60" xfId="68" applyFont="1" applyBorder="1" applyAlignment="1" applyProtection="1">
      <alignment vertical="center"/>
      <protection locked="0"/>
    </xf>
    <xf numFmtId="0" fontId="43" fillId="0" borderId="62" xfId="68" applyFont="1" applyBorder="1" applyAlignment="1" applyProtection="1">
      <alignment vertical="center"/>
      <protection locked="0"/>
    </xf>
    <xf numFmtId="0" fontId="1" fillId="0" borderId="60" xfId="68" applyFont="1" applyBorder="1" applyAlignment="1" applyProtection="1">
      <alignment horizontal="center"/>
      <protection locked="0"/>
    </xf>
    <xf numFmtId="0" fontId="1" fillId="0" borderId="61" xfId="68" applyFont="1" applyBorder="1" applyAlignment="1" applyProtection="1">
      <alignment horizontal="center"/>
      <protection locked="0"/>
    </xf>
    <xf numFmtId="0" fontId="1" fillId="0" borderId="62" xfId="68" applyFont="1" applyBorder="1" applyAlignment="1" applyProtection="1">
      <alignment horizontal="center"/>
      <protection locked="0"/>
    </xf>
    <xf numFmtId="0" fontId="55" fillId="0" borderId="60" xfId="68" applyFont="1" applyBorder="1" applyAlignment="1" applyProtection="1">
      <alignment horizontal="center"/>
      <protection locked="0"/>
    </xf>
    <xf numFmtId="0" fontId="55" fillId="0" borderId="61" xfId="68" applyFont="1" applyBorder="1" applyAlignment="1" applyProtection="1">
      <alignment horizontal="center"/>
      <protection locked="0"/>
    </xf>
    <xf numFmtId="0" fontId="55" fillId="0" borderId="62" xfId="68" applyFont="1" applyBorder="1" applyAlignment="1" applyProtection="1">
      <alignment horizontal="center"/>
      <protection locked="0"/>
    </xf>
    <xf numFmtId="0" fontId="132" fillId="0" borderId="11" xfId="211" applyFont="1" applyBorder="1" applyAlignment="1" applyProtection="1">
      <alignment horizontal="left" vertical="top"/>
      <protection locked="0"/>
    </xf>
    <xf numFmtId="0" fontId="132" fillId="0" borderId="10" xfId="211" applyFont="1" applyBorder="1" applyAlignment="1" applyProtection="1">
      <alignment horizontal="left" vertical="top"/>
      <protection locked="0"/>
    </xf>
    <xf numFmtId="0" fontId="4" fillId="0" borderId="30" xfId="71" applyFont="1" applyFill="1" applyBorder="1" applyAlignment="1" applyProtection="1">
      <alignment horizontal="center" wrapText="1"/>
      <protection locked="0"/>
    </xf>
    <xf numFmtId="0" fontId="4" fillId="0" borderId="63" xfId="71" applyFont="1" applyFill="1" applyBorder="1" applyAlignment="1" applyProtection="1">
      <alignment horizontal="center" wrapText="1"/>
      <protection locked="0"/>
    </xf>
    <xf numFmtId="0" fontId="4" fillId="0" borderId="64" xfId="71" applyFont="1" applyFill="1" applyBorder="1" applyAlignment="1" applyProtection="1">
      <alignment horizontal="center" wrapText="1"/>
      <protection locked="0"/>
    </xf>
    <xf numFmtId="0" fontId="4" fillId="0" borderId="12" xfId="71" applyFont="1" applyFill="1" applyBorder="1" applyAlignment="1" applyProtection="1">
      <alignment horizontal="center"/>
      <protection locked="0"/>
    </xf>
    <xf numFmtId="0" fontId="4" fillId="0" borderId="10" xfId="71" applyFont="1" applyFill="1" applyBorder="1" applyAlignment="1" applyProtection="1">
      <alignment horizontal="center"/>
      <protection locked="0"/>
    </xf>
    <xf numFmtId="0" fontId="138" fillId="0" borderId="30" xfId="71" applyFont="1" applyFill="1" applyBorder="1" applyAlignment="1" applyProtection="1">
      <alignment horizontal="center" wrapText="1"/>
      <protection locked="0"/>
    </xf>
    <xf numFmtId="0" fontId="138" fillId="0" borderId="64" xfId="71" applyFont="1" applyFill="1" applyBorder="1" applyAlignment="1" applyProtection="1">
      <alignment horizontal="center" wrapText="1"/>
      <protection locked="0"/>
    </xf>
    <xf numFmtId="168" fontId="2" fillId="27" borderId="15" xfId="71" applyNumberFormat="1" applyFont="1" applyFill="1" applyBorder="1" applyAlignment="1" applyProtection="1">
      <alignment horizontal="left" vertical="center" wrapText="1"/>
    </xf>
    <xf numFmtId="0" fontId="43" fillId="27" borderId="14" xfId="71" applyFont="1" applyFill="1" applyBorder="1" applyAlignment="1" applyProtection="1">
      <alignment horizontal="left" vertical="center" wrapText="1"/>
    </xf>
    <xf numFmtId="0" fontId="43" fillId="27" borderId="13" xfId="71" applyFont="1" applyFill="1" applyBorder="1" applyAlignment="1" applyProtection="1">
      <alignment horizontal="left" vertical="center" wrapText="1"/>
    </xf>
    <xf numFmtId="0" fontId="2" fillId="2" borderId="11" xfId="150" applyFont="1" applyFill="1" applyBorder="1" applyAlignment="1" applyProtection="1">
      <alignment horizontal="left" vertical="center"/>
    </xf>
    <xf numFmtId="0" fontId="2" fillId="2" borderId="11" xfId="150" applyFont="1" applyFill="1" applyBorder="1" applyAlignment="1" applyProtection="1">
      <alignment horizontal="center" vertical="center"/>
    </xf>
    <xf numFmtId="0" fontId="43" fillId="27" borderId="11" xfId="150" applyFont="1" applyFill="1" applyBorder="1" applyAlignment="1" applyProtection="1">
      <alignment vertical="center"/>
    </xf>
    <xf numFmtId="168" fontId="2" fillId="27" borderId="19" xfId="71" applyNumberFormat="1" applyFont="1" applyFill="1" applyBorder="1" applyAlignment="1" applyProtection="1">
      <alignment horizontal="left" vertical="center" wrapText="1"/>
    </xf>
    <xf numFmtId="168" fontId="2" fillId="27" borderId="0" xfId="71" applyNumberFormat="1" applyFont="1" applyFill="1" applyBorder="1" applyAlignment="1" applyProtection="1">
      <alignment horizontal="left" vertical="center" wrapText="1"/>
      <protection locked="0"/>
    </xf>
    <xf numFmtId="168" fontId="2" fillId="27" borderId="19" xfId="71" applyNumberFormat="1" applyFont="1" applyFill="1" applyBorder="1" applyAlignment="1" applyProtection="1">
      <alignment horizontal="left" vertical="center" wrapText="1"/>
      <protection locked="0"/>
    </xf>
    <xf numFmtId="0" fontId="2" fillId="27" borderId="19" xfId="71" applyFont="1" applyFill="1" applyBorder="1" applyAlignment="1" applyProtection="1">
      <alignment horizontal="left" wrapText="1"/>
    </xf>
    <xf numFmtId="0" fontId="2" fillId="27" borderId="18" xfId="71" applyFont="1" applyFill="1" applyBorder="1" applyAlignment="1" applyProtection="1">
      <alignment horizontal="left" vertical="center" wrapText="1"/>
      <protection locked="0"/>
    </xf>
    <xf numFmtId="0" fontId="2" fillId="2" borderId="19" xfId="210" applyFont="1" applyFill="1" applyBorder="1" applyAlignment="1" applyProtection="1">
      <alignment horizontal="left"/>
    </xf>
    <xf numFmtId="0" fontId="1" fillId="0" borderId="13" xfId="71" applyFont="1" applyBorder="1" applyAlignment="1" applyProtection="1">
      <alignment horizontal="center"/>
    </xf>
    <xf numFmtId="0" fontId="1" fillId="0" borderId="18" xfId="71" applyFont="1" applyBorder="1" applyAlignment="1" applyProtection="1">
      <alignment horizontal="center"/>
    </xf>
    <xf numFmtId="0" fontId="1" fillId="0" borderId="0" xfId="71" applyFont="1" applyBorder="1" applyAlignment="1" applyProtection="1">
      <alignment horizontal="center"/>
    </xf>
    <xf numFmtId="0" fontId="1" fillId="0" borderId="19" xfId="71" applyFont="1" applyBorder="1" applyAlignment="1" applyProtection="1">
      <alignment horizontal="center"/>
    </xf>
    <xf numFmtId="0" fontId="1" fillId="0" borderId="347" xfId="71" applyFont="1" applyBorder="1" applyAlignment="1" applyProtection="1">
      <alignment horizontal="center"/>
    </xf>
    <xf numFmtId="0" fontId="1" fillId="0" borderId="15" xfId="71" applyFont="1" applyBorder="1" applyAlignment="1" applyProtection="1">
      <alignment horizontal="center"/>
    </xf>
    <xf numFmtId="0" fontId="132" fillId="0" borderId="20" xfId="73" applyFont="1" applyBorder="1" applyAlignment="1" applyProtection="1">
      <alignment horizontal="left"/>
      <protection locked="0"/>
    </xf>
    <xf numFmtId="0" fontId="132" fillId="0" borderId="0" xfId="73" applyFont="1" applyBorder="1" applyAlignment="1" applyProtection="1">
      <alignment horizontal="left"/>
      <protection locked="0"/>
    </xf>
    <xf numFmtId="0" fontId="132" fillId="0" borderId="19" xfId="73" applyFont="1" applyBorder="1" applyAlignment="1" applyProtection="1">
      <alignment horizontal="left"/>
      <protection locked="0"/>
    </xf>
    <xf numFmtId="0" fontId="2" fillId="27" borderId="51" xfId="1" applyFont="1" applyFill="1" applyBorder="1" applyAlignment="1" applyProtection="1">
      <alignment horizontal="center" vertical="center"/>
      <protection locked="0"/>
    </xf>
    <xf numFmtId="0" fontId="2" fillId="27" borderId="9" xfId="1" applyFont="1" applyFill="1" applyBorder="1" applyAlignment="1" applyProtection="1">
      <alignment horizontal="center" vertical="center"/>
      <protection locked="0"/>
    </xf>
    <xf numFmtId="0" fontId="2" fillId="27" borderId="1" xfId="1" applyFont="1" applyFill="1" applyBorder="1" applyAlignment="1" applyProtection="1">
      <alignment horizontal="center" vertical="center"/>
      <protection locked="0"/>
    </xf>
    <xf numFmtId="0" fontId="2" fillId="27" borderId="3" xfId="1" applyFont="1" applyFill="1" applyBorder="1" applyAlignment="1" applyProtection="1">
      <alignment horizontal="center" vertical="center"/>
      <protection locked="0"/>
    </xf>
    <xf numFmtId="0" fontId="129" fillId="27" borderId="13" xfId="1" applyFont="1" applyFill="1" applyBorder="1" applyAlignment="1" applyProtection="1">
      <alignment horizontal="center" vertical="center"/>
      <protection locked="0"/>
    </xf>
    <xf numFmtId="0" fontId="129" fillId="27" borderId="18" xfId="1" applyFont="1" applyFill="1" applyBorder="1" applyAlignment="1" applyProtection="1">
      <alignment horizontal="center" vertical="center"/>
      <protection locked="0"/>
    </xf>
    <xf numFmtId="0" fontId="129" fillId="27" borderId="347" xfId="1" applyFont="1" applyFill="1" applyBorder="1" applyAlignment="1" applyProtection="1">
      <alignment horizontal="center" vertical="center"/>
      <protection locked="0"/>
    </xf>
    <xf numFmtId="0" fontId="129" fillId="27" borderId="15" xfId="1" applyFont="1" applyFill="1" applyBorder="1" applyAlignment="1" applyProtection="1">
      <alignment horizontal="center" vertical="center"/>
      <protection locked="0"/>
    </xf>
    <xf numFmtId="0" fontId="6" fillId="27" borderId="14" xfId="1" applyFont="1" applyFill="1" applyBorder="1" applyAlignment="1" applyProtection="1">
      <alignment horizontal="center" vertical="center" wrapText="1"/>
    </xf>
    <xf numFmtId="0" fontId="6" fillId="27" borderId="13" xfId="1" applyFont="1" applyFill="1" applyBorder="1" applyAlignment="1" applyProtection="1">
      <alignment horizontal="center" vertical="center" wrapText="1"/>
    </xf>
    <xf numFmtId="0" fontId="6" fillId="27" borderId="16" xfId="1" applyFont="1" applyFill="1" applyBorder="1" applyAlignment="1" applyProtection="1">
      <alignment horizontal="center" vertical="center" wrapText="1"/>
    </xf>
    <xf numFmtId="0" fontId="6" fillId="27" borderId="347" xfId="1" applyFont="1" applyFill="1" applyBorder="1" applyAlignment="1" applyProtection="1">
      <alignment horizontal="center" vertical="center" wrapText="1"/>
    </xf>
    <xf numFmtId="0" fontId="43" fillId="27" borderId="14" xfId="1" applyFont="1" applyFill="1" applyBorder="1" applyAlignment="1" applyProtection="1">
      <alignment horizontal="center" vertical="center" wrapText="1"/>
      <protection locked="0"/>
    </xf>
    <xf numFmtId="0" fontId="43" fillId="27" borderId="13" xfId="1" applyFont="1" applyFill="1" applyBorder="1" applyAlignment="1" applyProtection="1">
      <alignment horizontal="center" vertical="center" wrapText="1"/>
      <protection locked="0"/>
    </xf>
    <xf numFmtId="0" fontId="43" fillId="27" borderId="16" xfId="1" applyFont="1" applyFill="1" applyBorder="1" applyAlignment="1" applyProtection="1">
      <alignment horizontal="center" vertical="center" wrapText="1"/>
      <protection locked="0"/>
    </xf>
    <xf numFmtId="0" fontId="43" fillId="27" borderId="347" xfId="1" applyFont="1" applyFill="1" applyBorder="1" applyAlignment="1" applyProtection="1">
      <alignment horizontal="center" vertical="center" wrapText="1"/>
      <protection locked="0"/>
    </xf>
    <xf numFmtId="0" fontId="1" fillId="27" borderId="14" xfId="1" applyFont="1" applyFill="1" applyBorder="1" applyAlignment="1" applyProtection="1">
      <alignment horizontal="center"/>
    </xf>
    <xf numFmtId="0" fontId="1" fillId="27" borderId="13" xfId="1" applyFont="1" applyFill="1" applyBorder="1" applyAlignment="1" applyProtection="1">
      <alignment horizontal="center"/>
    </xf>
    <xf numFmtId="0" fontId="1" fillId="27" borderId="18" xfId="1" applyFont="1" applyFill="1" applyBorder="1" applyAlignment="1" applyProtection="1">
      <alignment horizontal="center"/>
    </xf>
    <xf numFmtId="0" fontId="1" fillId="27" borderId="20" xfId="1" applyFont="1" applyFill="1" applyBorder="1" applyAlignment="1" applyProtection="1">
      <alignment horizontal="center"/>
    </xf>
    <xf numFmtId="0" fontId="1" fillId="27" borderId="0" xfId="1" applyFont="1" applyFill="1" applyBorder="1" applyAlignment="1" applyProtection="1">
      <alignment horizontal="center"/>
    </xf>
    <xf numFmtId="0" fontId="1" fillId="27" borderId="19" xfId="1" applyFont="1" applyFill="1" applyBorder="1" applyAlignment="1" applyProtection="1">
      <alignment horizontal="center"/>
    </xf>
    <xf numFmtId="0" fontId="1" fillId="27" borderId="16" xfId="1" applyFont="1" applyFill="1" applyBorder="1" applyAlignment="1" applyProtection="1">
      <alignment horizontal="center"/>
    </xf>
    <xf numFmtId="0" fontId="1" fillId="27" borderId="347" xfId="1" applyFont="1" applyFill="1" applyBorder="1" applyAlignment="1" applyProtection="1">
      <alignment horizontal="center"/>
    </xf>
    <xf numFmtId="0" fontId="1" fillId="27" borderId="15" xfId="1" applyFont="1" applyFill="1" applyBorder="1" applyAlignment="1" applyProtection="1">
      <alignment horizontal="center"/>
    </xf>
    <xf numFmtId="0" fontId="43" fillId="27" borderId="0" xfId="1" applyFont="1" applyFill="1" applyBorder="1" applyAlignment="1" applyProtection="1">
      <alignment horizontal="left" vertical="center" wrapText="1"/>
    </xf>
    <xf numFmtId="0" fontId="2" fillId="27" borderId="0" xfId="1" applyFont="1" applyFill="1" applyBorder="1" applyAlignment="1" applyProtection="1">
      <alignment horizontal="left" vertical="center" wrapText="1"/>
    </xf>
    <xf numFmtId="0" fontId="2" fillId="2" borderId="13" xfId="544" applyFont="1" applyFill="1" applyBorder="1" applyAlignment="1" applyProtection="1">
      <alignment horizontal="left" vertical="center"/>
      <protection locked="0"/>
    </xf>
    <xf numFmtId="0" fontId="2" fillId="2" borderId="18" xfId="544" applyFont="1" applyFill="1" applyBorder="1" applyAlignment="1" applyProtection="1">
      <alignment horizontal="left" vertical="center"/>
      <protection locked="0"/>
    </xf>
    <xf numFmtId="0" fontId="6" fillId="27" borderId="14" xfId="1" applyFont="1" applyFill="1" applyBorder="1" applyAlignment="1" applyProtection="1">
      <alignment horizontal="center" vertical="center" wrapText="1"/>
      <protection locked="0"/>
    </xf>
    <xf numFmtId="0" fontId="6" fillId="27" borderId="13" xfId="1" applyFont="1" applyFill="1" applyBorder="1" applyAlignment="1" applyProtection="1">
      <alignment horizontal="center" vertical="center" wrapText="1"/>
      <protection locked="0"/>
    </xf>
    <xf numFmtId="0" fontId="6" fillId="27" borderId="16" xfId="1" applyFont="1" applyFill="1" applyBorder="1" applyAlignment="1" applyProtection="1">
      <alignment horizontal="center" vertical="center" wrapText="1"/>
      <protection locked="0"/>
    </xf>
    <xf numFmtId="0" fontId="6" fillId="27" borderId="347" xfId="1" applyFont="1" applyFill="1" applyBorder="1" applyAlignment="1" applyProtection="1">
      <alignment horizontal="center" vertical="center" wrapText="1"/>
      <protection locked="0"/>
    </xf>
    <xf numFmtId="0" fontId="43" fillId="27" borderId="13" xfId="0" applyFont="1" applyFill="1" applyBorder="1" applyAlignment="1" applyProtection="1">
      <alignment vertical="center"/>
    </xf>
    <xf numFmtId="0" fontId="43" fillId="25" borderId="20" xfId="1" applyFont="1" applyFill="1" applyBorder="1" applyAlignment="1" applyProtection="1">
      <alignment horizontal="center" vertical="center"/>
    </xf>
    <xf numFmtId="0" fontId="43" fillId="25" borderId="0" xfId="1" applyFont="1" applyFill="1" applyBorder="1" applyAlignment="1" applyProtection="1">
      <alignment horizontal="center" vertical="center"/>
    </xf>
    <xf numFmtId="1" fontId="43" fillId="25" borderId="0" xfId="1" applyNumberFormat="1" applyFont="1" applyFill="1" applyBorder="1" applyAlignment="1" applyProtection="1">
      <alignment horizontal="center" vertical="center"/>
    </xf>
    <xf numFmtId="0" fontId="2" fillId="25" borderId="0" xfId="1" applyFont="1" applyFill="1" applyBorder="1" applyAlignment="1" applyProtection="1">
      <alignment horizontal="center" vertical="center"/>
    </xf>
    <xf numFmtId="0" fontId="2" fillId="25" borderId="19" xfId="1" applyFont="1" applyFill="1" applyBorder="1" applyAlignment="1" applyProtection="1">
      <alignment horizontal="center" vertical="center"/>
    </xf>
    <xf numFmtId="0" fontId="43" fillId="27" borderId="0" xfId="0" applyFont="1" applyFill="1" applyBorder="1" applyAlignment="1" applyProtection="1">
      <alignment vertical="center"/>
    </xf>
    <xf numFmtId="0" fontId="4" fillId="0" borderId="0" xfId="1" applyFont="1" applyBorder="1" applyProtection="1">
      <protection locked="0"/>
    </xf>
    <xf numFmtId="0" fontId="129" fillId="27" borderId="14" xfId="1" applyFont="1" applyFill="1" applyBorder="1" applyAlignment="1" applyProtection="1">
      <alignment horizontal="center" vertical="center" wrapText="1"/>
    </xf>
    <xf numFmtId="0" fontId="129" fillId="27" borderId="13" xfId="1" applyFont="1" applyFill="1" applyBorder="1" applyAlignment="1" applyProtection="1">
      <alignment horizontal="center" vertical="center" wrapText="1"/>
    </xf>
    <xf numFmtId="0" fontId="129" fillId="27" borderId="18" xfId="1" applyFont="1" applyFill="1" applyBorder="1" applyAlignment="1" applyProtection="1">
      <alignment horizontal="center" vertical="center" wrapText="1"/>
    </xf>
    <xf numFmtId="0" fontId="129" fillId="27" borderId="169" xfId="1" applyFont="1" applyFill="1" applyBorder="1" applyAlignment="1" applyProtection="1">
      <alignment horizontal="center" vertical="center" wrapText="1"/>
    </xf>
    <xf numFmtId="0" fontId="129" fillId="27" borderId="170" xfId="1" applyFont="1" applyFill="1" applyBorder="1" applyAlignment="1" applyProtection="1">
      <alignment horizontal="center" vertical="center" wrapText="1"/>
    </xf>
    <xf numFmtId="0" fontId="129" fillId="27" borderId="207" xfId="1" applyFont="1" applyFill="1" applyBorder="1" applyAlignment="1" applyProtection="1">
      <alignment horizontal="center" vertical="center" wrapText="1"/>
    </xf>
    <xf numFmtId="1" fontId="2" fillId="27" borderId="37" xfId="1" applyNumberFormat="1" applyFont="1" applyFill="1" applyBorder="1" applyAlignment="1" applyProtection="1">
      <alignment horizontal="center" vertical="center"/>
    </xf>
    <xf numFmtId="1" fontId="2" fillId="27" borderId="0" xfId="1" applyNumberFormat="1" applyFont="1" applyFill="1" applyBorder="1" applyAlignment="1" applyProtection="1">
      <alignment horizontal="center" vertical="center"/>
    </xf>
    <xf numFmtId="1" fontId="2" fillId="27" borderId="188" xfId="1" applyNumberFormat="1" applyFont="1" applyFill="1" applyBorder="1" applyAlignment="1" applyProtection="1">
      <alignment horizontal="center" vertical="center"/>
    </xf>
    <xf numFmtId="12" fontId="129" fillId="27" borderId="208" xfId="1" applyNumberFormat="1" applyFont="1" applyFill="1" applyBorder="1" applyAlignment="1" applyProtection="1">
      <alignment horizontal="center" vertical="center" wrapText="1"/>
    </xf>
    <xf numFmtId="12" fontId="129" fillId="27" borderId="191" xfId="1" applyNumberFormat="1" applyFont="1" applyFill="1" applyBorder="1" applyAlignment="1" applyProtection="1">
      <alignment horizontal="center" vertical="center" wrapText="1"/>
    </xf>
    <xf numFmtId="172" fontId="129" fillId="27" borderId="190" xfId="1" applyNumberFormat="1" applyFont="1" applyFill="1" applyBorder="1" applyAlignment="1" applyProtection="1">
      <alignment horizontal="center" vertical="center" wrapText="1"/>
    </xf>
    <xf numFmtId="172" fontId="129" fillId="27" borderId="178" xfId="1" applyNumberFormat="1" applyFont="1" applyFill="1" applyBorder="1" applyAlignment="1" applyProtection="1">
      <alignment horizontal="center" vertical="center" wrapText="1"/>
    </xf>
    <xf numFmtId="1" fontId="2" fillId="27" borderId="208" xfId="1" applyNumberFormat="1" applyFont="1" applyFill="1" applyBorder="1" applyAlignment="1" applyProtection="1">
      <alignment horizontal="center" vertical="center"/>
    </xf>
    <xf numFmtId="1" fontId="2" fillId="27" borderId="191" xfId="1" applyNumberFormat="1" applyFont="1" applyFill="1" applyBorder="1" applyAlignment="1" applyProtection="1">
      <alignment horizontal="center" vertical="center"/>
    </xf>
    <xf numFmtId="1" fontId="2" fillId="27" borderId="190" xfId="1" applyNumberFormat="1" applyFont="1" applyFill="1" applyBorder="1" applyAlignment="1" applyProtection="1">
      <alignment horizontal="center" vertical="center"/>
    </xf>
    <xf numFmtId="1" fontId="2" fillId="27" borderId="178" xfId="1" applyNumberFormat="1" applyFont="1" applyFill="1" applyBorder="1" applyAlignment="1" applyProtection="1">
      <alignment horizontal="center" vertical="center"/>
    </xf>
    <xf numFmtId="1" fontId="2" fillId="27" borderId="193" xfId="1" applyNumberFormat="1" applyFont="1" applyFill="1" applyBorder="1" applyAlignment="1" applyProtection="1">
      <alignment horizontal="center" vertical="center"/>
    </xf>
    <xf numFmtId="1" fontId="2" fillId="27" borderId="170" xfId="1" applyNumberFormat="1" applyFont="1" applyFill="1" applyBorder="1" applyAlignment="1" applyProtection="1">
      <alignment horizontal="center" vertical="center"/>
    </xf>
    <xf numFmtId="1" fontId="2" fillId="27" borderId="207" xfId="1" applyNumberFormat="1" applyFont="1" applyFill="1" applyBorder="1" applyAlignment="1" applyProtection="1">
      <alignment horizontal="center" vertical="center"/>
    </xf>
    <xf numFmtId="0" fontId="129" fillId="27" borderId="20" xfId="1" applyFont="1" applyFill="1" applyBorder="1" applyAlignment="1" applyProtection="1">
      <alignment horizontal="center" vertical="center" wrapText="1"/>
    </xf>
    <xf numFmtId="0" fontId="129" fillId="27" borderId="0" xfId="1" applyFont="1" applyFill="1" applyBorder="1" applyAlignment="1" applyProtection="1">
      <alignment horizontal="center" vertical="center" wrapText="1"/>
    </xf>
    <xf numFmtId="0" fontId="129" fillId="27" borderId="19" xfId="1" applyFont="1" applyFill="1" applyBorder="1" applyAlignment="1" applyProtection="1">
      <alignment horizontal="center" vertical="center" wrapText="1"/>
    </xf>
    <xf numFmtId="12" fontId="129" fillId="27" borderId="169" xfId="1" applyNumberFormat="1" applyFont="1" applyFill="1" applyBorder="1" applyAlignment="1" applyProtection="1">
      <alignment horizontal="center" vertical="center" wrapText="1"/>
    </xf>
    <xf numFmtId="12" fontId="129" fillId="27" borderId="170" xfId="1" applyNumberFormat="1" applyFont="1" applyFill="1" applyBorder="1" applyAlignment="1" applyProtection="1">
      <alignment horizontal="center" vertical="center" wrapText="1"/>
    </xf>
    <xf numFmtId="12" fontId="129" fillId="27" borderId="193" xfId="1" applyNumberFormat="1" applyFont="1" applyFill="1" applyBorder="1" applyAlignment="1" applyProtection="1">
      <alignment horizontal="center" vertical="center" wrapText="1"/>
    </xf>
    <xf numFmtId="12" fontId="129" fillId="27" borderId="207" xfId="1" applyNumberFormat="1" applyFont="1" applyFill="1" applyBorder="1" applyAlignment="1" applyProtection="1">
      <alignment horizontal="center" vertical="center" wrapText="1"/>
    </xf>
    <xf numFmtId="0" fontId="16" fillId="29" borderId="12" xfId="1" applyFont="1" applyFill="1" applyBorder="1" applyAlignment="1" applyProtection="1">
      <alignment horizontal="center" vertical="center"/>
    </xf>
    <xf numFmtId="0" fontId="16" fillId="29" borderId="11" xfId="1" applyFont="1" applyFill="1" applyBorder="1" applyAlignment="1" applyProtection="1">
      <alignment horizontal="center" vertical="center"/>
    </xf>
    <xf numFmtId="0" fontId="43" fillId="27" borderId="14" xfId="1" applyFont="1" applyFill="1" applyBorder="1" applyAlignment="1" applyProtection="1">
      <alignment horizontal="center" vertical="center" wrapText="1"/>
    </xf>
    <xf numFmtId="0" fontId="43" fillId="27" borderId="13" xfId="1" applyFont="1" applyFill="1" applyBorder="1" applyAlignment="1" applyProtection="1">
      <alignment horizontal="center" vertical="center" wrapText="1"/>
    </xf>
    <xf numFmtId="0" fontId="43" fillId="27" borderId="16" xfId="1" applyFont="1" applyFill="1" applyBorder="1" applyAlignment="1" applyProtection="1">
      <alignment horizontal="center" vertical="center" wrapText="1"/>
    </xf>
    <xf numFmtId="0" fontId="43" fillId="27" borderId="347" xfId="1" applyFont="1" applyFill="1" applyBorder="1" applyAlignment="1" applyProtection="1">
      <alignment horizontal="center" vertical="center" wrapText="1"/>
    </xf>
    <xf numFmtId="167" fontId="2" fillId="27" borderId="37" xfId="1" applyNumberFormat="1" applyFont="1" applyFill="1" applyBorder="1" applyAlignment="1" applyProtection="1">
      <alignment horizontal="center" vertical="center"/>
      <protection locked="0"/>
    </xf>
    <xf numFmtId="167" fontId="2" fillId="27" borderId="0" xfId="1" applyNumberFormat="1" applyFont="1" applyFill="1" applyBorder="1" applyAlignment="1" applyProtection="1">
      <alignment horizontal="center" vertical="center"/>
      <protection locked="0"/>
    </xf>
    <xf numFmtId="0" fontId="129" fillId="27" borderId="37" xfId="1" applyFont="1" applyFill="1" applyBorder="1" applyAlignment="1" applyProtection="1">
      <alignment horizontal="center" vertical="center" wrapText="1"/>
    </xf>
    <xf numFmtId="0" fontId="129" fillId="27" borderId="38" xfId="1" applyFont="1" applyFill="1" applyBorder="1" applyAlignment="1" applyProtection="1">
      <alignment horizontal="center" vertical="center" wrapText="1"/>
    </xf>
    <xf numFmtId="1" fontId="2" fillId="27" borderId="20" xfId="1" applyNumberFormat="1" applyFont="1" applyFill="1" applyBorder="1" applyAlignment="1" applyProtection="1">
      <alignment horizontal="center" vertical="center"/>
    </xf>
    <xf numFmtId="1" fontId="2" fillId="27" borderId="169" xfId="1" applyNumberFormat="1" applyFont="1" applyFill="1" applyBorder="1" applyAlignment="1" applyProtection="1">
      <alignment horizontal="center" vertical="center"/>
    </xf>
    <xf numFmtId="1" fontId="2" fillId="27" borderId="185" xfId="1" applyNumberFormat="1" applyFont="1" applyFill="1" applyBorder="1" applyAlignment="1" applyProtection="1">
      <alignment horizontal="center" vertical="center"/>
    </xf>
    <xf numFmtId="1" fontId="2" fillId="27" borderId="19" xfId="1" applyNumberFormat="1" applyFont="1" applyFill="1" applyBorder="1" applyAlignment="1" applyProtection="1">
      <alignment horizontal="center" vertical="center"/>
    </xf>
    <xf numFmtId="167" fontId="2" fillId="27" borderId="208" xfId="1" applyNumberFormat="1" applyFont="1" applyFill="1" applyBorder="1" applyAlignment="1" applyProtection="1">
      <alignment horizontal="center" vertical="center" wrapText="1"/>
      <protection locked="0"/>
    </xf>
    <xf numFmtId="167" fontId="2" fillId="27" borderId="303" xfId="1" applyNumberFormat="1" applyFont="1" applyFill="1" applyBorder="1" applyAlignment="1" applyProtection="1">
      <alignment horizontal="center" vertical="center" wrapText="1"/>
      <protection locked="0"/>
    </xf>
    <xf numFmtId="167" fontId="2" fillId="27" borderId="191" xfId="1" applyNumberFormat="1" applyFont="1" applyFill="1" applyBorder="1" applyAlignment="1" applyProtection="1">
      <alignment horizontal="center" vertical="center" wrapText="1"/>
    </xf>
    <xf numFmtId="167" fontId="2" fillId="27" borderId="170" xfId="1" applyNumberFormat="1" applyFont="1" applyFill="1" applyBorder="1" applyAlignment="1" applyProtection="1">
      <alignment horizontal="center" vertical="center" wrapText="1"/>
    </xf>
    <xf numFmtId="167" fontId="129" fillId="27" borderId="208" xfId="1" applyNumberFormat="1" applyFont="1" applyFill="1" applyBorder="1" applyAlignment="1" applyProtection="1">
      <alignment horizontal="center" vertical="center" wrapText="1"/>
    </xf>
    <xf numFmtId="167" fontId="129" fillId="27" borderId="191" xfId="1" applyNumberFormat="1" applyFont="1" applyFill="1" applyBorder="1" applyAlignment="1" applyProtection="1">
      <alignment horizontal="center" vertical="center" wrapText="1"/>
    </xf>
    <xf numFmtId="167" fontId="129" fillId="27" borderId="190" xfId="1" applyNumberFormat="1" applyFont="1" applyFill="1" applyBorder="1" applyAlignment="1" applyProtection="1">
      <alignment horizontal="center" vertical="center" wrapText="1"/>
    </xf>
    <xf numFmtId="167" fontId="129" fillId="27" borderId="178" xfId="1" applyNumberFormat="1" applyFont="1" applyFill="1" applyBorder="1" applyAlignment="1" applyProtection="1">
      <alignment horizontal="center" vertical="center" wrapText="1"/>
    </xf>
    <xf numFmtId="172" fontId="129" fillId="27" borderId="208" xfId="1" applyNumberFormat="1" applyFont="1" applyFill="1" applyBorder="1" applyAlignment="1" applyProtection="1">
      <alignment horizontal="center" vertical="center" wrapText="1"/>
    </xf>
    <xf numFmtId="172" fontId="129" fillId="27" borderId="191" xfId="1" applyNumberFormat="1" applyFont="1" applyFill="1" applyBorder="1" applyAlignment="1" applyProtection="1">
      <alignment horizontal="center" vertical="center" wrapText="1"/>
    </xf>
    <xf numFmtId="167" fontId="129" fillId="27" borderId="169" xfId="1" applyNumberFormat="1" applyFont="1" applyFill="1" applyBorder="1" applyAlignment="1" applyProtection="1">
      <alignment horizontal="center" vertical="center" wrapText="1"/>
    </xf>
    <xf numFmtId="167" fontId="129" fillId="27" borderId="170" xfId="1" applyNumberFormat="1" applyFont="1" applyFill="1" applyBorder="1" applyAlignment="1" applyProtection="1">
      <alignment horizontal="center" vertical="center" wrapText="1"/>
    </xf>
    <xf numFmtId="167" fontId="129" fillId="27" borderId="193" xfId="1" applyNumberFormat="1" applyFont="1" applyFill="1" applyBorder="1" applyAlignment="1" applyProtection="1">
      <alignment horizontal="center" vertical="center" wrapText="1"/>
    </xf>
    <xf numFmtId="167" fontId="129" fillId="27" borderId="207" xfId="1" applyNumberFormat="1" applyFont="1" applyFill="1" applyBorder="1" applyAlignment="1" applyProtection="1">
      <alignment horizontal="center" vertical="center" wrapText="1"/>
    </xf>
    <xf numFmtId="172" fontId="129" fillId="27" borderId="169" xfId="1" applyNumberFormat="1" applyFont="1" applyFill="1" applyBorder="1" applyAlignment="1" applyProtection="1">
      <alignment horizontal="center" vertical="center" wrapText="1"/>
    </xf>
    <xf numFmtId="172" fontId="129" fillId="27" borderId="170" xfId="1" applyNumberFormat="1" applyFont="1" applyFill="1" applyBorder="1" applyAlignment="1" applyProtection="1">
      <alignment horizontal="center" vertical="center" wrapText="1"/>
    </xf>
    <xf numFmtId="1" fontId="2" fillId="27" borderId="159" xfId="1" applyNumberFormat="1" applyFont="1" applyFill="1" applyBorder="1" applyAlignment="1" applyProtection="1">
      <alignment horizontal="center" vertical="center"/>
    </xf>
    <xf numFmtId="1" fontId="2" fillId="27" borderId="13" xfId="1" applyNumberFormat="1" applyFont="1" applyFill="1" applyBorder="1" applyAlignment="1" applyProtection="1">
      <alignment horizontal="center" vertical="center"/>
    </xf>
    <xf numFmtId="1" fontId="2" fillId="27" borderId="18" xfId="1" applyNumberFormat="1" applyFont="1" applyFill="1" applyBorder="1" applyAlignment="1" applyProtection="1">
      <alignment horizontal="center" vertical="center"/>
    </xf>
    <xf numFmtId="167" fontId="2" fillId="27" borderId="185" xfId="1" applyNumberFormat="1" applyFont="1" applyFill="1" applyBorder="1" applyAlignment="1" applyProtection="1">
      <alignment horizontal="center" vertical="center"/>
      <protection locked="0"/>
    </xf>
    <xf numFmtId="167" fontId="2" fillId="27" borderId="19" xfId="1" applyNumberFormat="1" applyFont="1" applyFill="1" applyBorder="1" applyAlignment="1" applyProtection="1">
      <alignment horizontal="center" vertical="center"/>
      <protection locked="0"/>
    </xf>
    <xf numFmtId="167" fontId="2" fillId="27" borderId="193" xfId="1" applyNumberFormat="1" applyFont="1" applyFill="1" applyBorder="1" applyAlignment="1" applyProtection="1">
      <alignment horizontal="center" vertical="center"/>
      <protection locked="0"/>
    </xf>
    <xf numFmtId="167" fontId="2" fillId="27" borderId="170" xfId="1" applyNumberFormat="1" applyFont="1" applyFill="1" applyBorder="1" applyAlignment="1" applyProtection="1">
      <alignment horizontal="center" vertical="center"/>
      <protection locked="0"/>
    </xf>
    <xf numFmtId="167" fontId="2" fillId="27" borderId="207" xfId="1" applyNumberFormat="1" applyFont="1" applyFill="1" applyBorder="1" applyAlignment="1" applyProtection="1">
      <alignment horizontal="center" vertical="center"/>
      <protection locked="0"/>
    </xf>
    <xf numFmtId="167" fontId="2" fillId="27" borderId="169" xfId="1" applyNumberFormat="1" applyFont="1" applyFill="1" applyBorder="1" applyAlignment="1" applyProtection="1">
      <alignment horizontal="center" vertical="center" wrapText="1"/>
      <protection locked="0"/>
    </xf>
    <xf numFmtId="167" fontId="2" fillId="27" borderId="304" xfId="1" applyNumberFormat="1" applyFont="1" applyFill="1" applyBorder="1" applyAlignment="1" applyProtection="1">
      <alignment horizontal="center" vertical="center" wrapText="1"/>
      <protection locked="0"/>
    </xf>
    <xf numFmtId="167" fontId="2" fillId="27" borderId="38" xfId="1" applyNumberFormat="1" applyFont="1" applyFill="1" applyBorder="1" applyAlignment="1" applyProtection="1">
      <alignment horizontal="center" vertical="center"/>
      <protection locked="0"/>
    </xf>
    <xf numFmtId="1" fontId="2" fillId="27" borderId="203" xfId="1" applyNumberFormat="1" applyFont="1" applyFill="1" applyBorder="1" applyAlignment="1" applyProtection="1">
      <alignment horizontal="center" vertical="center"/>
      <protection locked="0"/>
    </xf>
    <xf numFmtId="1" fontId="2" fillId="27" borderId="206" xfId="1" applyNumberFormat="1" applyFont="1" applyFill="1" applyBorder="1" applyAlignment="1" applyProtection="1">
      <alignment horizontal="center" vertical="center"/>
      <protection locked="0"/>
    </xf>
    <xf numFmtId="12" fontId="129" fillId="27" borderId="186" xfId="1" applyNumberFormat="1" applyFont="1" applyFill="1" applyBorder="1" applyAlignment="1" applyProtection="1">
      <alignment horizontal="center" vertical="center" wrapText="1"/>
    </xf>
    <xf numFmtId="12" fontId="129" fillId="27" borderId="15" xfId="1" applyNumberFormat="1" applyFont="1" applyFill="1" applyBorder="1" applyAlignment="1" applyProtection="1">
      <alignment horizontal="center" vertical="center" wrapText="1"/>
    </xf>
    <xf numFmtId="1" fontId="2" fillId="27" borderId="16" xfId="1" applyNumberFormat="1" applyFont="1" applyFill="1" applyBorder="1" applyAlignment="1" applyProtection="1">
      <alignment horizontal="center" vertical="center"/>
    </xf>
    <xf numFmtId="1" fontId="2" fillId="27" borderId="347" xfId="1" applyNumberFormat="1" applyFont="1" applyFill="1" applyBorder="1" applyAlignment="1" applyProtection="1">
      <alignment horizontal="center" vertical="center"/>
    </xf>
    <xf numFmtId="1" fontId="2" fillId="27" borderId="186" xfId="1" applyNumberFormat="1" applyFont="1" applyFill="1" applyBorder="1" applyAlignment="1" applyProtection="1">
      <alignment horizontal="center" vertical="center"/>
    </xf>
    <xf numFmtId="1" fontId="2" fillId="27" borderId="15" xfId="1" applyNumberFormat="1" applyFont="1" applyFill="1" applyBorder="1" applyAlignment="1" applyProtection="1">
      <alignment horizontal="center" vertical="center"/>
    </xf>
    <xf numFmtId="0" fontId="129" fillId="27" borderId="16" xfId="1" applyFont="1" applyFill="1" applyBorder="1" applyAlignment="1" applyProtection="1">
      <alignment horizontal="center" vertical="center" wrapText="1"/>
    </xf>
    <xf numFmtId="0" fontId="129" fillId="27" borderId="347" xfId="1" applyFont="1" applyFill="1" applyBorder="1" applyAlignment="1" applyProtection="1">
      <alignment horizontal="center" vertical="center"/>
    </xf>
    <xf numFmtId="0" fontId="129" fillId="27" borderId="15" xfId="1" applyFont="1" applyFill="1" applyBorder="1" applyAlignment="1" applyProtection="1">
      <alignment horizontal="center" vertical="center"/>
    </xf>
    <xf numFmtId="0" fontId="5" fillId="27" borderId="204" xfId="1" applyFont="1" applyFill="1" applyBorder="1" applyAlignment="1" applyProtection="1">
      <alignment horizontal="center" vertical="center"/>
    </xf>
    <xf numFmtId="0" fontId="5" fillId="27" borderId="203" xfId="1" applyFont="1" applyFill="1" applyBorder="1" applyAlignment="1" applyProtection="1">
      <alignment horizontal="center" vertical="center"/>
    </xf>
    <xf numFmtId="167" fontId="2" fillId="27" borderId="186" xfId="1" applyNumberFormat="1" applyFont="1" applyFill="1" applyBorder="1" applyAlignment="1" applyProtection="1">
      <alignment horizontal="center" vertical="center"/>
      <protection locked="0"/>
    </xf>
    <xf numFmtId="167" fontId="2" fillId="27" borderId="347" xfId="1" applyNumberFormat="1" applyFont="1" applyFill="1" applyBorder="1" applyAlignment="1" applyProtection="1">
      <alignment horizontal="center" vertical="center"/>
      <protection locked="0"/>
    </xf>
    <xf numFmtId="167" fontId="2" fillId="27" borderId="15" xfId="1" applyNumberFormat="1" applyFont="1" applyFill="1" applyBorder="1" applyAlignment="1" applyProtection="1">
      <alignment horizontal="center" vertical="center"/>
      <protection locked="0"/>
    </xf>
    <xf numFmtId="1" fontId="16" fillId="27" borderId="316" xfId="1" applyNumberFormat="1" applyFont="1" applyFill="1" applyBorder="1" applyAlignment="1" applyProtection="1">
      <alignment horizontal="center" vertical="center"/>
    </xf>
    <xf numFmtId="1" fontId="16" fillId="27" borderId="317" xfId="1" applyNumberFormat="1" applyFont="1" applyFill="1" applyBorder="1" applyAlignment="1" applyProtection="1">
      <alignment horizontal="center" vertical="center"/>
    </xf>
    <xf numFmtId="0" fontId="16" fillId="27" borderId="34" xfId="1" applyFont="1" applyFill="1" applyBorder="1" applyAlignment="1" applyProtection="1">
      <alignment horizontal="center" vertical="center" wrapText="1"/>
    </xf>
    <xf numFmtId="0" fontId="16" fillId="27" borderId="35" xfId="1" applyFont="1" applyFill="1" applyBorder="1" applyAlignment="1" applyProtection="1">
      <alignment horizontal="center" vertical="center" wrapText="1"/>
    </xf>
    <xf numFmtId="0" fontId="16" fillId="27" borderId="36" xfId="1" applyFont="1" applyFill="1" applyBorder="1" applyAlignment="1" applyProtection="1">
      <alignment horizontal="center" vertical="center" wrapText="1"/>
    </xf>
    <xf numFmtId="0" fontId="16" fillId="27" borderId="39" xfId="1" applyFont="1" applyFill="1" applyBorder="1" applyAlignment="1" applyProtection="1">
      <alignment horizontal="center" vertical="center" wrapText="1"/>
    </xf>
    <xf numFmtId="0" fontId="16" fillId="27" borderId="40" xfId="1" applyFont="1" applyFill="1" applyBorder="1" applyAlignment="1" applyProtection="1">
      <alignment horizontal="center" vertical="center" wrapText="1"/>
    </xf>
    <xf numFmtId="0" fontId="16" fillId="27" borderId="41" xfId="1" applyFont="1" applyFill="1" applyBorder="1" applyAlignment="1" applyProtection="1">
      <alignment horizontal="center" vertical="center" wrapText="1"/>
    </xf>
    <xf numFmtId="0" fontId="16" fillId="27" borderId="32" xfId="1" applyFont="1" applyFill="1" applyBorder="1" applyAlignment="1" applyProtection="1">
      <alignment horizontal="center" vertical="center" wrapText="1"/>
    </xf>
    <xf numFmtId="0" fontId="16" fillId="27" borderId="42" xfId="1" applyFont="1" applyFill="1" applyBorder="1" applyAlignment="1" applyProtection="1">
      <alignment horizontal="center" vertical="center" wrapText="1"/>
    </xf>
    <xf numFmtId="0" fontId="16" fillId="27" borderId="165" xfId="1" applyFont="1" applyFill="1" applyBorder="1" applyAlignment="1" applyProtection="1">
      <alignment horizontal="center" vertical="center"/>
    </xf>
    <xf numFmtId="0" fontId="16" fillId="27" borderId="166" xfId="1" applyFont="1" applyFill="1" applyBorder="1" applyAlignment="1" applyProtection="1">
      <alignment horizontal="center" vertical="center"/>
    </xf>
    <xf numFmtId="0" fontId="16" fillId="27" borderId="210" xfId="1" applyFont="1" applyFill="1" applyBorder="1" applyAlignment="1" applyProtection="1">
      <alignment horizontal="center" vertical="center"/>
    </xf>
    <xf numFmtId="0" fontId="16" fillId="27" borderId="211" xfId="1" applyFont="1" applyFill="1" applyBorder="1" applyAlignment="1" applyProtection="1">
      <alignment horizontal="center" vertical="center"/>
    </xf>
    <xf numFmtId="167" fontId="2" fillId="27" borderId="16" xfId="1" applyNumberFormat="1" applyFont="1" applyFill="1" applyBorder="1" applyAlignment="1" applyProtection="1">
      <alignment horizontal="center" vertical="center" wrapText="1"/>
      <protection locked="0"/>
    </xf>
    <xf numFmtId="167" fontId="2" fillId="27" borderId="347" xfId="1" applyNumberFormat="1" applyFont="1" applyFill="1" applyBorder="1" applyAlignment="1" applyProtection="1">
      <alignment horizontal="center" vertical="center" wrapText="1"/>
      <protection locked="0"/>
    </xf>
    <xf numFmtId="0" fontId="16" fillId="27" borderId="154" xfId="1" applyFont="1" applyFill="1" applyBorder="1" applyAlignment="1" applyProtection="1">
      <alignment horizontal="center" vertical="center"/>
    </xf>
    <xf numFmtId="0" fontId="16" fillId="27" borderId="40" xfId="1" applyFont="1" applyFill="1" applyBorder="1" applyAlignment="1" applyProtection="1">
      <alignment horizontal="center" vertical="center"/>
    </xf>
    <xf numFmtId="0" fontId="16" fillId="27" borderId="215" xfId="1" applyFont="1" applyFill="1" applyBorder="1" applyAlignment="1" applyProtection="1">
      <alignment horizontal="center" vertical="center"/>
    </xf>
    <xf numFmtId="0" fontId="16" fillId="27" borderId="216" xfId="1" applyFont="1" applyFill="1" applyBorder="1" applyAlignment="1" applyProtection="1">
      <alignment horizontal="center" vertical="center"/>
    </xf>
    <xf numFmtId="0" fontId="16" fillId="27" borderId="213" xfId="1" applyFont="1" applyFill="1" applyBorder="1" applyAlignment="1" applyProtection="1">
      <alignment horizontal="center" vertical="center"/>
    </xf>
    <xf numFmtId="0" fontId="16" fillId="27" borderId="214" xfId="1" applyFont="1" applyFill="1" applyBorder="1" applyAlignment="1" applyProtection="1">
      <alignment horizontal="center" vertical="center"/>
    </xf>
    <xf numFmtId="0" fontId="16" fillId="27" borderId="41" xfId="1" applyFont="1" applyFill="1" applyBorder="1" applyAlignment="1" applyProtection="1">
      <alignment horizontal="center" vertical="center"/>
    </xf>
    <xf numFmtId="167" fontId="129" fillId="27" borderId="16" xfId="1" applyNumberFormat="1" applyFont="1" applyFill="1" applyBorder="1" applyAlignment="1" applyProtection="1">
      <alignment horizontal="center" vertical="center" wrapText="1"/>
    </xf>
    <xf numFmtId="167" fontId="129" fillId="27" borderId="347" xfId="1" applyNumberFormat="1" applyFont="1" applyFill="1" applyBorder="1" applyAlignment="1" applyProtection="1">
      <alignment horizontal="center" vertical="center" wrapText="1"/>
    </xf>
    <xf numFmtId="167" fontId="129" fillId="27" borderId="186" xfId="1" applyNumberFormat="1" applyFont="1" applyFill="1" applyBorder="1" applyAlignment="1" applyProtection="1">
      <alignment horizontal="center" vertical="center" wrapText="1"/>
    </xf>
    <xf numFmtId="167" fontId="129" fillId="27" borderId="15" xfId="1" applyNumberFormat="1" applyFont="1" applyFill="1" applyBorder="1" applyAlignment="1" applyProtection="1">
      <alignment horizontal="center" vertical="center" wrapText="1"/>
    </xf>
    <xf numFmtId="12" fontId="129" fillId="27" borderId="16" xfId="1" applyNumberFormat="1" applyFont="1" applyFill="1" applyBorder="1" applyAlignment="1" applyProtection="1">
      <alignment horizontal="center" vertical="center" wrapText="1"/>
    </xf>
    <xf numFmtId="12" fontId="129" fillId="27" borderId="347" xfId="1" applyNumberFormat="1" applyFont="1" applyFill="1" applyBorder="1" applyAlignment="1" applyProtection="1">
      <alignment horizontal="center" vertical="center" wrapText="1"/>
    </xf>
    <xf numFmtId="1" fontId="5" fillId="27" borderId="203" xfId="1" applyNumberFormat="1" applyFont="1" applyFill="1" applyBorder="1" applyAlignment="1" applyProtection="1">
      <alignment horizontal="center" vertical="center"/>
    </xf>
    <xf numFmtId="1" fontId="5" fillId="27" borderId="206" xfId="1" applyNumberFormat="1" applyFont="1" applyFill="1" applyBorder="1" applyAlignment="1" applyProtection="1">
      <alignment horizontal="center" vertical="center"/>
    </xf>
    <xf numFmtId="0" fontId="43" fillId="25" borderId="224" xfId="1" applyFont="1" applyFill="1" applyBorder="1" applyAlignment="1" applyProtection="1">
      <alignment horizontal="center" vertical="center"/>
    </xf>
    <xf numFmtId="0" fontId="43" fillId="25" borderId="205" xfId="1" applyFont="1" applyFill="1" applyBorder="1" applyAlignment="1" applyProtection="1">
      <alignment horizontal="center" vertical="center"/>
    </xf>
    <xf numFmtId="0" fontId="43" fillId="25" borderId="225" xfId="1" applyFont="1" applyFill="1" applyBorder="1" applyAlignment="1" applyProtection="1">
      <alignment horizontal="center" vertical="center"/>
    </xf>
    <xf numFmtId="0" fontId="174" fillId="27" borderId="32" xfId="1" applyFont="1" applyFill="1" applyBorder="1" applyAlignment="1" applyProtection="1">
      <alignment horizontal="center" vertical="center" wrapText="1"/>
    </xf>
    <xf numFmtId="0" fontId="174" fillId="27" borderId="42" xfId="1" applyFont="1" applyFill="1" applyBorder="1" applyAlignment="1" applyProtection="1">
      <alignment horizontal="center" vertical="center" wrapText="1"/>
    </xf>
    <xf numFmtId="0" fontId="16" fillId="27" borderId="32" xfId="1" applyFont="1" applyFill="1" applyBorder="1" applyAlignment="1" applyProtection="1">
      <alignment horizontal="center" vertical="center"/>
    </xf>
    <xf numFmtId="0" fontId="16" fillId="27" borderId="42" xfId="1" applyFont="1" applyFill="1" applyBorder="1" applyAlignment="1" applyProtection="1">
      <alignment horizontal="center" vertical="center"/>
    </xf>
    <xf numFmtId="0" fontId="16" fillId="27" borderId="226" xfId="1" applyFont="1" applyFill="1" applyBorder="1" applyAlignment="1" applyProtection="1">
      <alignment horizontal="center" vertical="center"/>
    </xf>
    <xf numFmtId="0" fontId="47" fillId="0" borderId="0" xfId="70" applyFont="1" applyFill="1" applyBorder="1" applyAlignment="1" applyProtection="1">
      <alignment horizontal="center" vertical="center" wrapText="1"/>
      <protection locked="0"/>
    </xf>
    <xf numFmtId="1" fontId="2" fillId="27" borderId="46" xfId="1" applyNumberFormat="1" applyFont="1" applyFill="1" applyBorder="1" applyAlignment="1" applyProtection="1">
      <alignment horizontal="center" vertical="center"/>
    </xf>
    <xf numFmtId="1" fontId="2" fillId="27" borderId="91" xfId="1" applyNumberFormat="1" applyFont="1" applyFill="1" applyBorder="1" applyAlignment="1" applyProtection="1">
      <alignment horizontal="center" vertical="center"/>
    </xf>
    <xf numFmtId="0" fontId="132" fillId="0" borderId="16" xfId="73" applyFont="1" applyBorder="1" applyAlignment="1" applyProtection="1">
      <alignment horizontal="left"/>
      <protection locked="0"/>
    </xf>
    <xf numFmtId="0" fontId="132" fillId="0" borderId="347" xfId="73" applyFont="1" applyBorder="1" applyAlignment="1" applyProtection="1">
      <alignment horizontal="left"/>
      <protection locked="0"/>
    </xf>
    <xf numFmtId="0" fontId="132" fillId="0" borderId="15" xfId="73" applyFont="1" applyBorder="1" applyAlignment="1" applyProtection="1">
      <alignment horizontal="left"/>
      <protection locked="0"/>
    </xf>
    <xf numFmtId="167" fontId="129" fillId="27" borderId="45" xfId="1" applyNumberFormat="1" applyFont="1" applyFill="1" applyBorder="1" applyAlignment="1" applyProtection="1">
      <alignment horizontal="center" vertical="center" wrapText="1"/>
    </xf>
    <xf numFmtId="167" fontId="129" fillId="27" borderId="46" xfId="1" applyNumberFormat="1" applyFont="1" applyFill="1" applyBorder="1" applyAlignment="1" applyProtection="1">
      <alignment horizontal="center" vertical="center" wrapText="1"/>
    </xf>
    <xf numFmtId="0" fontId="45" fillId="25" borderId="60" xfId="68" applyFont="1" applyFill="1" applyBorder="1" applyAlignment="1" applyProtection="1">
      <alignment horizontal="center" vertical="center"/>
      <protection locked="0"/>
    </xf>
    <xf numFmtId="0" fontId="45" fillId="25" borderId="61" xfId="68" applyFont="1" applyFill="1" applyBorder="1" applyAlignment="1" applyProtection="1">
      <alignment horizontal="center" vertical="center"/>
      <protection locked="0"/>
    </xf>
    <xf numFmtId="0" fontId="43" fillId="27" borderId="166" xfId="1" applyFont="1" applyFill="1" applyBorder="1" applyAlignment="1" applyProtection="1">
      <alignment horizontal="center" vertical="center"/>
    </xf>
    <xf numFmtId="0" fontId="43" fillId="27" borderId="167" xfId="1" applyFont="1" applyFill="1" applyBorder="1" applyAlignment="1" applyProtection="1">
      <alignment horizontal="center" vertical="center"/>
    </xf>
    <xf numFmtId="167" fontId="129" fillId="27" borderId="48" xfId="1" applyNumberFormat="1" applyFont="1" applyFill="1" applyBorder="1" applyAlignment="1" applyProtection="1">
      <alignment horizontal="center" vertical="center" wrapText="1"/>
    </xf>
    <xf numFmtId="172" fontId="129" fillId="27" borderId="47" xfId="1" applyNumberFormat="1" applyFont="1" applyFill="1" applyBorder="1" applyAlignment="1" applyProtection="1">
      <alignment horizontal="center" vertical="center" wrapText="1"/>
    </xf>
    <xf numFmtId="172" fontId="129" fillId="27" borderId="217" xfId="1" applyNumberFormat="1" applyFont="1" applyFill="1" applyBorder="1" applyAlignment="1" applyProtection="1">
      <alignment horizontal="center" vertical="center" wrapText="1"/>
    </xf>
    <xf numFmtId="12" fontId="129" fillId="27" borderId="46" xfId="1" applyNumberFormat="1" applyFont="1" applyFill="1" applyBorder="1" applyAlignment="1" applyProtection="1">
      <alignment horizontal="center" vertical="center" wrapText="1"/>
    </xf>
    <xf numFmtId="12" fontId="129" fillId="27" borderId="48" xfId="1" applyNumberFormat="1" applyFont="1" applyFill="1" applyBorder="1" applyAlignment="1" applyProtection="1">
      <alignment horizontal="center" vertical="center" wrapText="1"/>
    </xf>
    <xf numFmtId="167" fontId="129" fillId="27" borderId="165" xfId="1" applyNumberFormat="1" applyFont="1" applyFill="1" applyBorder="1" applyAlignment="1" applyProtection="1">
      <alignment horizontal="center" vertical="center" wrapText="1"/>
    </xf>
    <xf numFmtId="167" fontId="129" fillId="27" borderId="212" xfId="1" applyNumberFormat="1" applyFont="1" applyFill="1" applyBorder="1" applyAlignment="1" applyProtection="1">
      <alignment horizontal="center" vertical="center" wrapText="1"/>
    </xf>
    <xf numFmtId="167" fontId="129" fillId="27" borderId="166" xfId="1" applyNumberFormat="1" applyFont="1" applyFill="1" applyBorder="1" applyAlignment="1" applyProtection="1">
      <alignment horizontal="center" vertical="center" wrapText="1"/>
    </xf>
    <xf numFmtId="167" fontId="129" fillId="27" borderId="210" xfId="1" applyNumberFormat="1" applyFont="1" applyFill="1" applyBorder="1" applyAlignment="1" applyProtection="1">
      <alignment horizontal="center" vertical="center" wrapText="1"/>
    </xf>
    <xf numFmtId="172" fontId="129" fillId="27" borderId="211" xfId="1" applyNumberFormat="1" applyFont="1" applyFill="1" applyBorder="1" applyAlignment="1" applyProtection="1">
      <alignment horizontal="center" vertical="center" wrapText="1"/>
    </xf>
    <xf numFmtId="172" fontId="129" fillId="27" borderId="212" xfId="1" applyNumberFormat="1" applyFont="1" applyFill="1" applyBorder="1" applyAlignment="1" applyProtection="1">
      <alignment horizontal="center" vertical="center" wrapText="1"/>
    </xf>
    <xf numFmtId="172" fontId="129" fillId="27" borderId="166" xfId="1" applyNumberFormat="1" applyFont="1" applyFill="1" applyBorder="1" applyAlignment="1" applyProtection="1">
      <alignment horizontal="center" vertical="center" wrapText="1"/>
    </xf>
    <xf numFmtId="172" fontId="129" fillId="27" borderId="210" xfId="1" applyNumberFormat="1" applyFont="1" applyFill="1" applyBorder="1" applyAlignment="1" applyProtection="1">
      <alignment horizontal="center" vertical="center" wrapText="1"/>
    </xf>
    <xf numFmtId="0" fontId="47" fillId="0" borderId="44" xfId="69" applyFont="1" applyBorder="1" applyAlignment="1" applyProtection="1">
      <alignment horizontal="center" wrapText="1"/>
      <protection locked="0"/>
    </xf>
    <xf numFmtId="0" fontId="2" fillId="27" borderId="47" xfId="1" applyFont="1" applyFill="1" applyBorder="1" applyAlignment="1" applyProtection="1">
      <alignment horizontal="center" vertical="center"/>
      <protection locked="0"/>
    </xf>
    <xf numFmtId="0" fontId="2" fillId="27" borderId="46" xfId="1" applyFont="1" applyFill="1" applyBorder="1" applyAlignment="1" applyProtection="1">
      <alignment horizontal="center" vertical="center"/>
      <protection locked="0"/>
    </xf>
    <xf numFmtId="0" fontId="2" fillId="27" borderId="48" xfId="1" applyFont="1" applyFill="1" applyBorder="1" applyAlignment="1" applyProtection="1">
      <alignment horizontal="center" vertical="center"/>
      <protection locked="0"/>
    </xf>
    <xf numFmtId="0" fontId="2" fillId="27" borderId="345" xfId="71" applyFont="1" applyFill="1" applyBorder="1" applyAlignment="1" applyProtection="1">
      <alignment horizontal="left" vertical="top" wrapText="1"/>
      <protection locked="0"/>
    </xf>
    <xf numFmtId="0" fontId="2" fillId="27" borderId="346" xfId="71" applyFont="1" applyFill="1" applyBorder="1" applyAlignment="1" applyProtection="1">
      <alignment horizontal="left" vertical="top" wrapText="1"/>
      <protection locked="0"/>
    </xf>
    <xf numFmtId="0" fontId="43" fillId="27" borderId="344" xfId="71" applyFont="1" applyFill="1" applyBorder="1" applyAlignment="1" applyProtection="1">
      <alignment horizontal="center" vertical="top" wrapText="1"/>
    </xf>
    <xf numFmtId="0" fontId="43" fillId="27" borderId="345" xfId="71" applyFont="1" applyFill="1" applyBorder="1" applyAlignment="1" applyProtection="1">
      <alignment horizontal="center" vertical="top" wrapText="1"/>
    </xf>
    <xf numFmtId="1" fontId="2" fillId="27" borderId="311" xfId="1" applyNumberFormat="1" applyFont="1" applyFill="1" applyBorder="1" applyAlignment="1" applyProtection="1">
      <alignment horizontal="center" vertical="center"/>
    </xf>
    <xf numFmtId="1" fontId="2" fillId="27" borderId="312" xfId="1" applyNumberFormat="1" applyFont="1" applyFill="1" applyBorder="1" applyAlignment="1" applyProtection="1">
      <alignment horizontal="center" vertical="center"/>
    </xf>
    <xf numFmtId="0" fontId="2" fillId="27" borderId="211" xfId="1" applyFont="1" applyFill="1" applyBorder="1" applyAlignment="1" applyProtection="1">
      <alignment horizontal="center" vertical="center"/>
      <protection locked="0"/>
    </xf>
    <xf numFmtId="0" fontId="2" fillId="27" borderId="166" xfId="1" applyFont="1" applyFill="1" applyBorder="1" applyAlignment="1" applyProtection="1">
      <alignment horizontal="center" vertical="center"/>
      <protection locked="0"/>
    </xf>
    <xf numFmtId="0" fontId="2" fillId="27" borderId="210" xfId="1" applyFont="1" applyFill="1" applyBorder="1" applyAlignment="1" applyProtection="1">
      <alignment horizontal="center" vertical="center"/>
      <protection locked="0"/>
    </xf>
    <xf numFmtId="0" fontId="2" fillId="27" borderId="307" xfId="1" applyFont="1" applyFill="1" applyBorder="1" applyAlignment="1" applyProtection="1">
      <alignment horizontal="center" vertical="center"/>
      <protection locked="0"/>
    </xf>
    <xf numFmtId="0" fontId="2" fillId="27" borderId="308" xfId="1" applyFont="1" applyFill="1" applyBorder="1" applyAlignment="1" applyProtection="1">
      <alignment horizontal="center" vertical="center"/>
      <protection locked="0"/>
    </xf>
    <xf numFmtId="0" fontId="2" fillId="27" borderId="310" xfId="1" applyFont="1" applyFill="1" applyBorder="1" applyAlignment="1" applyProtection="1">
      <alignment horizontal="center" vertical="center"/>
      <protection locked="0"/>
    </xf>
    <xf numFmtId="0" fontId="2" fillId="27" borderId="311" xfId="1" applyFont="1" applyFill="1" applyBorder="1" applyAlignment="1" applyProtection="1">
      <alignment horizontal="center" vertical="center"/>
      <protection locked="0"/>
    </xf>
    <xf numFmtId="0" fontId="43" fillId="27" borderId="211" xfId="1" applyFont="1" applyFill="1" applyBorder="1" applyAlignment="1" applyProtection="1">
      <alignment horizontal="center" vertical="center"/>
      <protection locked="0"/>
    </xf>
    <xf numFmtId="0" fontId="43" fillId="27" borderId="166" xfId="1" applyFont="1" applyFill="1" applyBorder="1" applyAlignment="1" applyProtection="1">
      <alignment horizontal="center" vertical="center"/>
      <protection locked="0"/>
    </xf>
    <xf numFmtId="0" fontId="43" fillId="27" borderId="305" xfId="1" applyFont="1" applyFill="1" applyBorder="1" applyAlignment="1" applyProtection="1">
      <alignment horizontal="center" vertical="center"/>
      <protection locked="0"/>
    </xf>
    <xf numFmtId="0" fontId="2" fillId="27" borderId="306" xfId="1" applyFont="1" applyFill="1" applyBorder="1" applyAlignment="1" applyProtection="1">
      <alignment horizontal="center" vertical="center"/>
      <protection locked="0"/>
    </xf>
    <xf numFmtId="0" fontId="43" fillId="27" borderId="308" xfId="1" applyFont="1" applyFill="1" applyBorder="1" applyAlignment="1" applyProtection="1">
      <alignment horizontal="center" vertical="center"/>
    </xf>
    <xf numFmtId="0" fontId="43" fillId="27" borderId="309" xfId="1" applyFont="1" applyFill="1" applyBorder="1" applyAlignment="1" applyProtection="1">
      <alignment horizontal="center" vertical="center"/>
    </xf>
    <xf numFmtId="0" fontId="5" fillId="27" borderId="14" xfId="1" applyFont="1" applyFill="1" applyBorder="1" applyAlignment="1" applyProtection="1">
      <alignment horizontal="center" vertical="center"/>
    </xf>
    <xf numFmtId="0" fontId="5" fillId="27" borderId="13" xfId="1" applyFont="1" applyFill="1" applyBorder="1" applyAlignment="1" applyProtection="1">
      <alignment horizontal="center" vertical="center"/>
    </xf>
    <xf numFmtId="0" fontId="5" fillId="27" borderId="18" xfId="1" applyFont="1" applyFill="1" applyBorder="1" applyAlignment="1" applyProtection="1">
      <alignment horizontal="center" vertical="center"/>
    </xf>
    <xf numFmtId="0" fontId="5" fillId="27" borderId="20" xfId="1" applyFont="1" applyFill="1" applyBorder="1" applyAlignment="1" applyProtection="1">
      <alignment horizontal="center" vertical="center" wrapText="1"/>
    </xf>
    <xf numFmtId="0" fontId="5" fillId="27" borderId="0" xfId="1" applyFont="1" applyFill="1" applyBorder="1" applyAlignment="1" applyProtection="1">
      <alignment horizontal="center" vertical="center" wrapText="1"/>
    </xf>
    <xf numFmtId="0" fontId="5" fillId="27" borderId="19" xfId="1" applyFont="1" applyFill="1" applyBorder="1" applyAlignment="1" applyProtection="1">
      <alignment horizontal="center" vertical="center" wrapText="1"/>
    </xf>
    <xf numFmtId="0" fontId="5" fillId="27" borderId="16" xfId="1" applyFont="1" applyFill="1" applyBorder="1" applyAlignment="1" applyProtection="1">
      <alignment horizontal="center" vertical="center"/>
    </xf>
    <xf numFmtId="0" fontId="5" fillId="27" borderId="347" xfId="1" applyFont="1" applyFill="1" applyBorder="1" applyAlignment="1" applyProtection="1">
      <alignment horizontal="center" vertical="center"/>
    </xf>
    <xf numFmtId="0" fontId="5" fillId="27" borderId="15" xfId="1" applyFont="1" applyFill="1" applyBorder="1" applyAlignment="1" applyProtection="1">
      <alignment horizontal="center" vertical="center"/>
    </xf>
    <xf numFmtId="0" fontId="140" fillId="27" borderId="12" xfId="21" applyFont="1" applyFill="1" applyBorder="1" applyAlignment="1" applyProtection="1">
      <alignment horizontal="left" vertical="center" wrapText="1"/>
    </xf>
    <xf numFmtId="0" fontId="140" fillId="27" borderId="11" xfId="21" applyFont="1" applyFill="1" applyBorder="1" applyAlignment="1" applyProtection="1">
      <alignment horizontal="left" vertical="center" wrapText="1"/>
    </xf>
    <xf numFmtId="0" fontId="140" fillId="27" borderId="10" xfId="21" applyFont="1" applyFill="1" applyBorder="1" applyAlignment="1" applyProtection="1">
      <alignment horizontal="left" vertical="center" wrapText="1"/>
    </xf>
    <xf numFmtId="0" fontId="140" fillId="27" borderId="12" xfId="21" applyFont="1" applyFill="1" applyBorder="1" applyAlignment="1" applyProtection="1">
      <alignment horizontal="left" vertical="center"/>
    </xf>
    <xf numFmtId="0" fontId="140" fillId="27" borderId="11" xfId="21" applyFont="1" applyFill="1" applyBorder="1" applyAlignment="1" applyProtection="1">
      <alignment horizontal="left" vertical="center"/>
    </xf>
    <xf numFmtId="0" fontId="140" fillId="27" borderId="10" xfId="21" applyFont="1" applyFill="1" applyBorder="1" applyAlignment="1" applyProtection="1">
      <alignment horizontal="left" vertical="center"/>
    </xf>
    <xf numFmtId="0" fontId="16" fillId="29" borderId="14" xfId="1" applyFont="1" applyFill="1" applyBorder="1" applyAlignment="1" applyProtection="1">
      <alignment horizontal="center" vertical="center" wrapText="1"/>
    </xf>
    <xf numFmtId="0" fontId="16" fillId="29" borderId="13" xfId="1" applyFont="1" applyFill="1" applyBorder="1" applyAlignment="1" applyProtection="1">
      <alignment horizontal="center" vertical="center" wrapText="1"/>
    </xf>
    <xf numFmtId="0" fontId="16" fillId="29" borderId="60" xfId="1" applyFont="1" applyFill="1" applyBorder="1" applyAlignment="1" applyProtection="1">
      <alignment horizontal="center" vertical="center" wrapText="1"/>
    </xf>
    <xf numFmtId="0" fontId="16" fillId="29" borderId="61" xfId="1" applyFont="1" applyFill="1" applyBorder="1" applyAlignment="1" applyProtection="1">
      <alignment horizontal="center" vertical="center" wrapText="1"/>
    </xf>
    <xf numFmtId="0" fontId="16" fillId="29" borderId="14" xfId="1" applyFont="1" applyFill="1" applyBorder="1" applyAlignment="1" applyProtection="1">
      <alignment horizontal="center" vertical="center"/>
    </xf>
    <xf numFmtId="0" fontId="16" fillId="29" borderId="13" xfId="1" applyFont="1" applyFill="1" applyBorder="1" applyAlignment="1" applyProtection="1">
      <alignment horizontal="center" vertical="center"/>
    </xf>
    <xf numFmtId="0" fontId="16" fillId="29" borderId="18" xfId="1" applyFont="1" applyFill="1" applyBorder="1" applyAlignment="1" applyProtection="1">
      <alignment horizontal="center" vertical="center"/>
    </xf>
    <xf numFmtId="167" fontId="2" fillId="27" borderId="196" xfId="1" applyNumberFormat="1" applyFont="1" applyFill="1" applyBorder="1" applyAlignment="1" applyProtection="1">
      <alignment horizontal="center" vertical="center"/>
      <protection locked="0"/>
    </xf>
    <xf numFmtId="167" fontId="2" fillId="27" borderId="191" xfId="1" applyNumberFormat="1" applyFont="1" applyFill="1" applyBorder="1" applyAlignment="1" applyProtection="1">
      <alignment horizontal="center" vertical="center"/>
      <protection locked="0"/>
    </xf>
    <xf numFmtId="167" fontId="2" fillId="27" borderId="198" xfId="1" applyNumberFormat="1" applyFont="1" applyFill="1" applyBorder="1" applyAlignment="1" applyProtection="1">
      <alignment horizontal="center" vertical="center"/>
      <protection locked="0"/>
    </xf>
    <xf numFmtId="167" fontId="2" fillId="27" borderId="190" xfId="1" applyNumberFormat="1" applyFont="1" applyFill="1" applyBorder="1" applyAlignment="1" applyProtection="1">
      <alignment horizontal="center" vertical="center"/>
      <protection locked="0"/>
    </xf>
    <xf numFmtId="167" fontId="2" fillId="27" borderId="197" xfId="1" applyNumberFormat="1" applyFont="1" applyFill="1" applyBorder="1" applyAlignment="1" applyProtection="1">
      <alignment horizontal="center" vertical="center"/>
      <protection locked="0"/>
    </xf>
    <xf numFmtId="167" fontId="2" fillId="27" borderId="199" xfId="1" applyNumberFormat="1" applyFont="1" applyFill="1" applyBorder="1" applyAlignment="1" applyProtection="1">
      <alignment horizontal="center" vertical="center"/>
      <protection locked="0"/>
    </xf>
    <xf numFmtId="1" fontId="2" fillId="27" borderId="196" xfId="1" applyNumberFormat="1" applyFont="1" applyFill="1" applyBorder="1" applyAlignment="1" applyProtection="1">
      <alignment horizontal="center" vertical="center"/>
    </xf>
    <xf numFmtId="1" fontId="2" fillId="27" borderId="192" xfId="1" applyNumberFormat="1" applyFont="1" applyFill="1" applyBorder="1" applyAlignment="1" applyProtection="1">
      <alignment horizontal="center" vertical="center"/>
    </xf>
    <xf numFmtId="1" fontId="2" fillId="27" borderId="198" xfId="1" applyNumberFormat="1" applyFont="1" applyFill="1" applyBorder="1" applyAlignment="1" applyProtection="1">
      <alignment horizontal="center" vertical="center"/>
    </xf>
    <xf numFmtId="1" fontId="2" fillId="27" borderId="194" xfId="1" applyNumberFormat="1" applyFont="1" applyFill="1" applyBorder="1" applyAlignment="1" applyProtection="1">
      <alignment horizontal="center" vertical="center"/>
    </xf>
    <xf numFmtId="0" fontId="129" fillId="27" borderId="198" xfId="1" applyFont="1" applyFill="1" applyBorder="1" applyAlignment="1" applyProtection="1">
      <alignment horizontal="center" vertical="center" wrapText="1"/>
    </xf>
    <xf numFmtId="0" fontId="129" fillId="27" borderId="199" xfId="1" applyFont="1" applyFill="1" applyBorder="1" applyAlignment="1" applyProtection="1">
      <alignment horizontal="center" vertical="center" wrapText="1"/>
    </xf>
    <xf numFmtId="1" fontId="43" fillId="25" borderId="205" xfId="1" applyNumberFormat="1" applyFont="1" applyFill="1" applyBorder="1" applyAlignment="1" applyProtection="1">
      <alignment horizontal="center" vertical="center"/>
    </xf>
    <xf numFmtId="1" fontId="2" fillId="27" borderId="34" xfId="1" applyNumberFormat="1" applyFont="1" applyFill="1" applyBorder="1" applyAlignment="1" applyProtection="1">
      <alignment horizontal="center" vertical="center"/>
    </xf>
    <xf numFmtId="1" fontId="2" fillId="27" borderId="35" xfId="1" applyNumberFormat="1" applyFont="1" applyFill="1" applyBorder="1" applyAlignment="1" applyProtection="1">
      <alignment horizontal="center" vertical="center"/>
    </xf>
    <xf numFmtId="1" fontId="2" fillId="27" borderId="187" xfId="1" applyNumberFormat="1" applyFont="1" applyFill="1" applyBorder="1" applyAlignment="1" applyProtection="1">
      <alignment horizontal="center" vertical="center"/>
    </xf>
    <xf numFmtId="1" fontId="2" fillId="27" borderId="36" xfId="1" applyNumberFormat="1" applyFont="1" applyFill="1" applyBorder="1" applyAlignment="1" applyProtection="1">
      <alignment horizontal="center" vertical="center"/>
    </xf>
    <xf numFmtId="1" fontId="2" fillId="27" borderId="199" xfId="1" applyNumberFormat="1" applyFont="1" applyFill="1" applyBorder="1" applyAlignment="1" applyProtection="1">
      <alignment horizontal="center" vertical="center"/>
    </xf>
    <xf numFmtId="0" fontId="129" fillId="27" borderId="34" xfId="1" applyFont="1" applyFill="1" applyBorder="1" applyAlignment="1" applyProtection="1">
      <alignment horizontal="center" vertical="center" wrapText="1"/>
    </xf>
    <xf numFmtId="0" fontId="129" fillId="27" borderId="35" xfId="1" applyFont="1" applyFill="1" applyBorder="1" applyAlignment="1" applyProtection="1">
      <alignment horizontal="center" vertical="center" wrapText="1"/>
    </xf>
    <xf numFmtId="0" fontId="129" fillId="27" borderId="36" xfId="1" applyFont="1" applyFill="1" applyBorder="1" applyAlignment="1" applyProtection="1">
      <alignment horizontal="center" vertical="center" wrapText="1"/>
    </xf>
    <xf numFmtId="167" fontId="2" fillId="27" borderId="195" xfId="1" applyNumberFormat="1" applyFont="1" applyFill="1" applyBorder="1" applyAlignment="1" applyProtection="1">
      <alignment horizontal="center" vertical="center"/>
      <protection locked="0"/>
    </xf>
    <xf numFmtId="167" fontId="2" fillId="27" borderId="35" xfId="1" applyNumberFormat="1" applyFont="1" applyFill="1" applyBorder="1" applyAlignment="1" applyProtection="1">
      <alignment horizontal="center" vertical="center"/>
      <protection locked="0"/>
    </xf>
    <xf numFmtId="167" fontId="2" fillId="27" borderId="36" xfId="1" applyNumberFormat="1" applyFont="1" applyFill="1" applyBorder="1" applyAlignment="1" applyProtection="1">
      <alignment horizontal="center" vertical="center"/>
      <protection locked="0"/>
    </xf>
    <xf numFmtId="0" fontId="16" fillId="29" borderId="10" xfId="1" applyFont="1" applyFill="1" applyBorder="1" applyAlignment="1" applyProtection="1">
      <alignment horizontal="center" vertical="center"/>
    </xf>
    <xf numFmtId="0" fontId="16" fillId="29" borderId="18" xfId="1" applyFont="1" applyFill="1" applyBorder="1" applyAlignment="1" applyProtection="1">
      <alignment horizontal="center" vertical="center" wrapText="1"/>
    </xf>
    <xf numFmtId="0" fontId="16" fillId="29" borderId="62" xfId="1" applyFont="1" applyFill="1" applyBorder="1" applyAlignment="1" applyProtection="1">
      <alignment horizontal="center" vertical="center" wrapText="1"/>
    </xf>
    <xf numFmtId="1" fontId="155" fillId="27" borderId="190" xfId="1" applyNumberFormat="1" applyFont="1" applyFill="1" applyBorder="1" applyAlignment="1" applyProtection="1">
      <alignment horizontal="center" vertical="center"/>
    </xf>
    <xf numFmtId="1" fontId="155" fillId="27" borderId="191" xfId="1" applyNumberFormat="1" applyFont="1" applyFill="1" applyBorder="1" applyAlignment="1" applyProtection="1">
      <alignment horizontal="center" vertical="center"/>
    </xf>
    <xf numFmtId="1" fontId="155" fillId="27" borderId="178" xfId="1" applyNumberFormat="1" applyFont="1" applyFill="1" applyBorder="1" applyAlignment="1" applyProtection="1">
      <alignment horizontal="center" vertical="center"/>
    </xf>
    <xf numFmtId="1" fontId="155" fillId="27" borderId="185" xfId="1" applyNumberFormat="1" applyFont="1" applyFill="1" applyBorder="1" applyAlignment="1" applyProtection="1">
      <alignment horizontal="center" vertical="center"/>
    </xf>
    <xf numFmtId="1" fontId="155" fillId="27" borderId="0" xfId="1" applyNumberFormat="1" applyFont="1" applyFill="1" applyBorder="1" applyAlignment="1" applyProtection="1">
      <alignment horizontal="center" vertical="center"/>
    </xf>
    <xf numFmtId="1" fontId="155" fillId="27" borderId="19" xfId="1" applyNumberFormat="1" applyFont="1" applyFill="1" applyBorder="1" applyAlignment="1" applyProtection="1">
      <alignment horizontal="center" vertical="center"/>
    </xf>
    <xf numFmtId="1" fontId="2" fillId="27" borderId="197" xfId="1" applyNumberFormat="1" applyFont="1" applyFill="1" applyBorder="1" applyAlignment="1" applyProtection="1">
      <alignment horizontal="center" vertical="center"/>
    </xf>
    <xf numFmtId="1" fontId="4" fillId="27" borderId="203" xfId="1" applyNumberFormat="1" applyFont="1" applyFill="1" applyBorder="1" applyAlignment="1" applyProtection="1">
      <alignment horizontal="center" vertical="center"/>
    </xf>
    <xf numFmtId="1" fontId="4" fillId="27" borderId="206" xfId="1" applyNumberFormat="1" applyFont="1" applyFill="1" applyBorder="1" applyAlignment="1" applyProtection="1">
      <alignment horizontal="center" vertical="center"/>
    </xf>
    <xf numFmtId="0" fontId="16" fillId="29" borderId="204" xfId="1" applyFont="1" applyFill="1" applyBorder="1" applyAlignment="1" applyProtection="1">
      <alignment horizontal="center" vertical="center"/>
    </xf>
    <xf numFmtId="0" fontId="16" fillId="29" borderId="203" xfId="1" applyFont="1" applyFill="1" applyBorder="1" applyAlignment="1" applyProtection="1">
      <alignment horizontal="center" vertical="center"/>
    </xf>
    <xf numFmtId="167" fontId="129" fillId="27" borderId="99" xfId="1" applyNumberFormat="1" applyFont="1" applyFill="1" applyBorder="1" applyAlignment="1" applyProtection="1">
      <alignment horizontal="center" vertical="center"/>
    </xf>
    <xf numFmtId="167" fontId="129" fillId="27" borderId="187" xfId="1" applyNumberFormat="1" applyFont="1" applyFill="1" applyBorder="1" applyAlignment="1" applyProtection="1">
      <alignment horizontal="center" vertical="center"/>
    </xf>
    <xf numFmtId="0" fontId="129" fillId="27" borderId="20" xfId="1" applyFont="1" applyFill="1" applyBorder="1" applyAlignment="1" applyProtection="1">
      <alignment horizontal="center" vertical="center"/>
    </xf>
    <xf numFmtId="0" fontId="129" fillId="27" borderId="188" xfId="1" applyFont="1" applyFill="1" applyBorder="1" applyAlignment="1" applyProtection="1">
      <alignment horizontal="center" vertical="center"/>
    </xf>
    <xf numFmtId="2" fontId="129" fillId="27" borderId="35" xfId="1" applyNumberFormat="1" applyFont="1" applyFill="1" applyBorder="1" applyAlignment="1" applyProtection="1">
      <alignment horizontal="center" vertical="center"/>
    </xf>
    <xf numFmtId="2" fontId="129" fillId="27" borderId="36" xfId="1" applyNumberFormat="1" applyFont="1" applyFill="1" applyBorder="1" applyAlignment="1" applyProtection="1">
      <alignment horizontal="center" vertical="center"/>
    </xf>
    <xf numFmtId="0" fontId="129" fillId="27" borderId="0" xfId="1" applyFont="1" applyFill="1" applyBorder="1" applyAlignment="1" applyProtection="1">
      <alignment horizontal="center" vertical="center"/>
    </xf>
    <xf numFmtId="0" fontId="129" fillId="27" borderId="38" xfId="1" applyFont="1" applyFill="1" applyBorder="1" applyAlignment="1" applyProtection="1">
      <alignment horizontal="center" vertical="center"/>
    </xf>
    <xf numFmtId="12" fontId="129" fillId="27" borderId="34" xfId="1" applyNumberFormat="1" applyFont="1" applyFill="1" applyBorder="1" applyAlignment="1" applyProtection="1">
      <alignment horizontal="center" vertical="center" wrapText="1"/>
    </xf>
    <xf numFmtId="12" fontId="129" fillId="27" borderId="187" xfId="1" applyNumberFormat="1" applyFont="1" applyFill="1" applyBorder="1" applyAlignment="1" applyProtection="1">
      <alignment horizontal="center" vertical="center" wrapText="1"/>
    </xf>
    <xf numFmtId="12" fontId="129" fillId="27" borderId="198" xfId="1" applyNumberFormat="1" applyFont="1" applyFill="1" applyBorder="1" applyAlignment="1" applyProtection="1">
      <alignment horizontal="center" vertical="center" wrapText="1"/>
    </xf>
    <xf numFmtId="12" fontId="129" fillId="27" borderId="194" xfId="1" applyNumberFormat="1" applyFont="1" applyFill="1" applyBorder="1" applyAlignment="1" applyProtection="1">
      <alignment horizontal="center" vertical="center" wrapText="1"/>
    </xf>
    <xf numFmtId="12" fontId="129" fillId="27" borderId="35" xfId="1" applyNumberFormat="1" applyFont="1" applyFill="1" applyBorder="1" applyAlignment="1" applyProtection="1">
      <alignment horizontal="center" vertical="center" wrapText="1"/>
    </xf>
    <xf numFmtId="12" fontId="129" fillId="27" borderId="36" xfId="1" applyNumberFormat="1" applyFont="1" applyFill="1" applyBorder="1" applyAlignment="1" applyProtection="1">
      <alignment horizontal="center" vertical="center" wrapText="1"/>
    </xf>
    <xf numFmtId="12" fontId="129" fillId="27" borderId="199" xfId="1" applyNumberFormat="1" applyFont="1" applyFill="1" applyBorder="1" applyAlignment="1" applyProtection="1">
      <alignment horizontal="center" vertical="center" wrapText="1"/>
    </xf>
    <xf numFmtId="2" fontId="129" fillId="27" borderId="208" xfId="1" applyNumberFormat="1" applyFont="1" applyFill="1" applyBorder="1" applyAlignment="1" applyProtection="1">
      <alignment horizontal="center" vertical="center"/>
    </xf>
    <xf numFmtId="0" fontId="129" fillId="27" borderId="192" xfId="1" applyFont="1" applyFill="1" applyBorder="1" applyAlignment="1" applyProtection="1">
      <alignment vertical="center"/>
    </xf>
    <xf numFmtId="0" fontId="129" fillId="27" borderId="169" xfId="1" applyFont="1" applyFill="1" applyBorder="1" applyAlignment="1" applyProtection="1">
      <alignment vertical="center"/>
    </xf>
    <xf numFmtId="0" fontId="129" fillId="27" borderId="194" xfId="1" applyFont="1" applyFill="1" applyBorder="1" applyAlignment="1" applyProtection="1">
      <alignment vertical="center"/>
    </xf>
    <xf numFmtId="0" fontId="129" fillId="27" borderId="20" xfId="1" applyFont="1" applyFill="1" applyBorder="1" applyAlignment="1" applyProtection="1">
      <alignment vertical="center"/>
    </xf>
    <xf numFmtId="0" fontId="129" fillId="27" borderId="188" xfId="1" applyFont="1" applyFill="1" applyBorder="1" applyAlignment="1" applyProtection="1">
      <alignment vertical="center"/>
    </xf>
    <xf numFmtId="2" fontId="129" fillId="27" borderId="185" xfId="1" applyNumberFormat="1" applyFont="1" applyFill="1" applyBorder="1" applyAlignment="1" applyProtection="1">
      <alignment horizontal="center" vertical="center"/>
    </xf>
    <xf numFmtId="0" fontId="129" fillId="27" borderId="38" xfId="1" applyFont="1" applyFill="1" applyBorder="1" applyAlignment="1" applyProtection="1">
      <alignment vertical="center"/>
    </xf>
    <xf numFmtId="0" fontId="129" fillId="27" borderId="185" xfId="1" applyFont="1" applyFill="1" applyBorder="1" applyAlignment="1" applyProtection="1">
      <alignment vertical="center"/>
    </xf>
    <xf numFmtId="12" fontId="129" fillId="27" borderId="196" xfId="1" applyNumberFormat="1" applyFont="1" applyFill="1" applyBorder="1" applyAlignment="1" applyProtection="1">
      <alignment horizontal="center" vertical="center" wrapText="1"/>
    </xf>
    <xf numFmtId="12" fontId="129" fillId="27" borderId="192" xfId="1" applyNumberFormat="1" applyFont="1" applyFill="1" applyBorder="1" applyAlignment="1" applyProtection="1">
      <alignment horizontal="center" vertical="center" wrapText="1"/>
    </xf>
    <xf numFmtId="12" fontId="129" fillId="27" borderId="197" xfId="1" applyNumberFormat="1" applyFont="1" applyFill="1" applyBorder="1" applyAlignment="1" applyProtection="1">
      <alignment horizontal="center" vertical="center" wrapText="1"/>
    </xf>
    <xf numFmtId="2" fontId="129" fillId="27" borderId="190" xfId="1" applyNumberFormat="1" applyFont="1" applyFill="1" applyBorder="1" applyAlignment="1" applyProtection="1">
      <alignment horizontal="center" vertical="center"/>
    </xf>
    <xf numFmtId="0" fontId="129" fillId="27" borderId="197" xfId="1" applyFont="1" applyFill="1" applyBorder="1" applyAlignment="1" applyProtection="1">
      <alignment vertical="center"/>
    </xf>
    <xf numFmtId="0" fontId="129" fillId="27" borderId="193" xfId="1" applyFont="1" applyFill="1" applyBorder="1" applyAlignment="1" applyProtection="1">
      <alignment vertical="center"/>
    </xf>
    <xf numFmtId="0" fontId="129" fillId="27" borderId="199" xfId="1" applyFont="1" applyFill="1" applyBorder="1" applyAlignment="1" applyProtection="1">
      <alignment vertical="center"/>
    </xf>
    <xf numFmtId="167" fontId="2" fillId="27" borderId="159" xfId="1" applyNumberFormat="1" applyFont="1" applyFill="1" applyBorder="1" applyAlignment="1" applyProtection="1">
      <alignment horizontal="center" vertical="center"/>
      <protection locked="0"/>
    </xf>
    <xf numFmtId="167" fontId="2" fillId="27" borderId="13" xfId="1" applyNumberFormat="1" applyFont="1" applyFill="1" applyBorder="1" applyAlignment="1" applyProtection="1">
      <alignment horizontal="center" vertical="center"/>
      <protection locked="0"/>
    </xf>
    <xf numFmtId="167" fontId="2" fillId="27" borderId="18" xfId="1" applyNumberFormat="1" applyFont="1" applyFill="1" applyBorder="1" applyAlignment="1" applyProtection="1">
      <alignment horizontal="center" vertical="center"/>
      <protection locked="0"/>
    </xf>
    <xf numFmtId="167" fontId="43" fillId="27" borderId="13" xfId="1" applyNumberFormat="1" applyFont="1" applyFill="1" applyBorder="1" applyAlignment="1" applyProtection="1">
      <alignment horizontal="center" vertical="center"/>
      <protection locked="0"/>
    </xf>
    <xf numFmtId="167" fontId="43" fillId="27" borderId="209" xfId="1" applyNumberFormat="1" applyFont="1" applyFill="1" applyBorder="1" applyAlignment="1" applyProtection="1">
      <alignment horizontal="center" vertical="center"/>
      <protection locked="0"/>
    </xf>
    <xf numFmtId="167" fontId="43" fillId="27" borderId="170" xfId="1" applyNumberFormat="1" applyFont="1" applyFill="1" applyBorder="1" applyAlignment="1" applyProtection="1">
      <alignment horizontal="center" vertical="center"/>
      <protection locked="0"/>
    </xf>
    <xf numFmtId="167" fontId="43" fillId="27" borderId="194" xfId="1" applyNumberFormat="1" applyFont="1" applyFill="1" applyBorder="1" applyAlignment="1" applyProtection="1">
      <alignment horizontal="center" vertical="center"/>
      <protection locked="0"/>
    </xf>
    <xf numFmtId="167" fontId="43" fillId="27" borderId="14" xfId="1" applyNumberFormat="1" applyFont="1" applyFill="1" applyBorder="1" applyAlignment="1" applyProtection="1">
      <alignment horizontal="center" vertical="center"/>
      <protection locked="0"/>
    </xf>
    <xf numFmtId="0" fontId="16" fillId="29" borderId="57" xfId="1" applyFont="1" applyFill="1" applyBorder="1" applyAlignment="1" applyProtection="1">
      <alignment horizontal="center" vertical="center" wrapText="1"/>
    </xf>
    <xf numFmtId="0" fontId="16" fillId="29" borderId="85" xfId="1" applyFont="1" applyFill="1" applyBorder="1" applyAlignment="1" applyProtection="1">
      <alignment horizontal="center" vertical="center" wrapText="1"/>
    </xf>
    <xf numFmtId="0" fontId="5" fillId="25" borderId="60" xfId="71" applyFont="1" applyFill="1" applyBorder="1" applyAlignment="1" applyProtection="1">
      <alignment horizontal="left" vertical="center" indent="2"/>
    </xf>
    <xf numFmtId="0" fontId="5" fillId="25" borderId="61" xfId="71" applyFont="1" applyFill="1" applyBorder="1" applyAlignment="1" applyProtection="1">
      <alignment horizontal="left" vertical="center" indent="2"/>
    </xf>
    <xf numFmtId="0" fontId="5" fillId="25" borderId="62" xfId="71" applyFont="1" applyFill="1" applyBorder="1" applyAlignment="1" applyProtection="1">
      <alignment horizontal="left" vertical="center" indent="2"/>
    </xf>
    <xf numFmtId="0" fontId="4" fillId="25" borderId="14" xfId="68" applyFont="1" applyFill="1" applyBorder="1" applyAlignment="1" applyProtection="1">
      <alignment horizontal="center" vertical="center"/>
    </xf>
    <xf numFmtId="0" fontId="4" fillId="25" borderId="13" xfId="68" applyFont="1" applyFill="1" applyBorder="1" applyAlignment="1" applyProtection="1">
      <alignment horizontal="center" vertical="center"/>
    </xf>
    <xf numFmtId="0" fontId="4" fillId="25" borderId="18" xfId="68" applyFont="1" applyFill="1" applyBorder="1" applyAlignment="1" applyProtection="1">
      <alignment horizontal="center" vertical="center"/>
    </xf>
    <xf numFmtId="0" fontId="5" fillId="25" borderId="20" xfId="71" applyFont="1" applyFill="1" applyBorder="1" applyAlignment="1" applyProtection="1">
      <alignment horizontal="left" vertical="center" indent="2"/>
    </xf>
    <xf numFmtId="0" fontId="5" fillId="25" borderId="19" xfId="71" applyFont="1" applyFill="1" applyBorder="1" applyAlignment="1" applyProtection="1">
      <alignment horizontal="left" vertical="center" indent="2"/>
    </xf>
    <xf numFmtId="0" fontId="1" fillId="0" borderId="0" xfId="1" applyFill="1" applyAlignment="1" applyProtection="1">
      <alignment horizontal="center" vertical="center"/>
      <protection locked="0"/>
    </xf>
    <xf numFmtId="167" fontId="129" fillId="27" borderId="208" xfId="1" applyNumberFormat="1" applyFont="1" applyFill="1" applyBorder="1" applyAlignment="1" applyProtection="1">
      <alignment horizontal="center" vertical="center"/>
    </xf>
    <xf numFmtId="167" fontId="129" fillId="27" borderId="190" xfId="1" applyNumberFormat="1" applyFont="1" applyFill="1" applyBorder="1" applyAlignment="1" applyProtection="1">
      <alignment horizontal="center" vertical="center"/>
    </xf>
    <xf numFmtId="167" fontId="129" fillId="27" borderId="37" xfId="1" applyNumberFormat="1" applyFont="1" applyFill="1" applyBorder="1" applyAlignment="1" applyProtection="1">
      <alignment horizontal="center" vertical="center"/>
    </xf>
    <xf numFmtId="0" fontId="129" fillId="27" borderId="37" xfId="1" applyFont="1" applyFill="1" applyBorder="1" applyAlignment="1" applyProtection="1">
      <alignment vertical="center"/>
    </xf>
    <xf numFmtId="167" fontId="129" fillId="27" borderId="0" xfId="1" applyNumberFormat="1" applyFont="1" applyFill="1" applyBorder="1" applyAlignment="1" applyProtection="1">
      <alignment horizontal="center" vertical="center"/>
    </xf>
    <xf numFmtId="0" fontId="129" fillId="27" borderId="0" xfId="1" applyFont="1" applyFill="1" applyBorder="1" applyAlignment="1" applyProtection="1">
      <alignment vertical="center"/>
    </xf>
    <xf numFmtId="167" fontId="129" fillId="27" borderId="14" xfId="1" applyNumberFormat="1" applyFont="1" applyFill="1" applyBorder="1" applyAlignment="1" applyProtection="1">
      <alignment horizontal="center" vertical="center" wrapText="1"/>
    </xf>
    <xf numFmtId="167" fontId="129" fillId="27" borderId="13" xfId="1" applyNumberFormat="1" applyFont="1" applyFill="1" applyBorder="1" applyAlignment="1" applyProtection="1">
      <alignment horizontal="center" vertical="center" wrapText="1"/>
    </xf>
    <xf numFmtId="167" fontId="129" fillId="27" borderId="159" xfId="1" applyNumberFormat="1" applyFont="1" applyFill="1" applyBorder="1" applyAlignment="1" applyProtection="1">
      <alignment horizontal="center" vertical="center" wrapText="1"/>
    </xf>
    <xf numFmtId="167" fontId="129" fillId="27" borderId="18" xfId="1" applyNumberFormat="1" applyFont="1" applyFill="1" applyBorder="1" applyAlignment="1" applyProtection="1">
      <alignment horizontal="center" vertical="center" wrapText="1"/>
    </xf>
    <xf numFmtId="172" fontId="129" fillId="27" borderId="14" xfId="1" applyNumberFormat="1" applyFont="1" applyFill="1" applyBorder="1" applyAlignment="1" applyProtection="1">
      <alignment horizontal="center" vertical="center" wrapText="1"/>
    </xf>
    <xf numFmtId="172" fontId="129" fillId="27" borderId="13" xfId="1" applyNumberFormat="1" applyFont="1" applyFill="1" applyBorder="1" applyAlignment="1" applyProtection="1">
      <alignment horizontal="center" vertical="center" wrapText="1"/>
    </xf>
    <xf numFmtId="172" fontId="129" fillId="27" borderId="159" xfId="1" applyNumberFormat="1" applyFont="1" applyFill="1" applyBorder="1" applyAlignment="1" applyProtection="1">
      <alignment horizontal="center" vertical="center" wrapText="1"/>
    </xf>
    <xf numFmtId="172" fontId="129" fillId="27" borderId="18" xfId="1" applyNumberFormat="1" applyFont="1" applyFill="1" applyBorder="1" applyAlignment="1" applyProtection="1">
      <alignment horizontal="center" vertical="center" wrapText="1"/>
    </xf>
    <xf numFmtId="2" fontId="129" fillId="27" borderId="196" xfId="1" applyNumberFormat="1" applyFont="1" applyFill="1" applyBorder="1" applyAlignment="1" applyProtection="1">
      <alignment horizontal="center" vertical="center"/>
    </xf>
    <xf numFmtId="0" fontId="129" fillId="27" borderId="198" xfId="1" applyFont="1" applyFill="1" applyBorder="1" applyAlignment="1" applyProtection="1">
      <alignment vertical="center"/>
    </xf>
    <xf numFmtId="1" fontId="1" fillId="27" borderId="202" xfId="1" applyNumberFormat="1" applyFont="1" applyFill="1" applyBorder="1" applyAlignment="1" applyProtection="1">
      <alignment horizontal="center" vertical="center"/>
      <protection locked="0"/>
    </xf>
    <xf numFmtId="1" fontId="1" fillId="27" borderId="201" xfId="1" applyNumberFormat="1" applyFont="1" applyFill="1" applyBorder="1" applyAlignment="1" applyProtection="1">
      <alignment horizontal="center" vertical="center"/>
      <protection locked="0"/>
    </xf>
    <xf numFmtId="1" fontId="2" fillId="27" borderId="14" xfId="1" applyNumberFormat="1" applyFont="1" applyFill="1" applyBorder="1" applyAlignment="1" applyProtection="1">
      <alignment horizontal="center" vertical="center"/>
    </xf>
    <xf numFmtId="0" fontId="4" fillId="0" borderId="60" xfId="21" applyFont="1" applyFill="1" applyBorder="1" applyAlignment="1" applyProtection="1">
      <alignment horizontal="center" vertical="center"/>
    </xf>
    <xf numFmtId="0" fontId="4" fillId="0" borderId="61" xfId="21" applyFont="1" applyFill="1" applyBorder="1" applyAlignment="1" applyProtection="1">
      <alignment horizontal="center" vertical="center"/>
    </xf>
    <xf numFmtId="0" fontId="4" fillId="0" borderId="62" xfId="21" applyFont="1" applyFill="1" applyBorder="1" applyAlignment="1" applyProtection="1">
      <alignment horizontal="center" vertical="center"/>
    </xf>
    <xf numFmtId="0" fontId="1" fillId="0" borderId="20" xfId="21" applyFont="1" applyFill="1" applyBorder="1" applyAlignment="1" applyProtection="1">
      <alignment horizontal="center" vertical="center"/>
    </xf>
    <xf numFmtId="0" fontId="1" fillId="0" borderId="0" xfId="21" applyFont="1" applyFill="1" applyBorder="1" applyAlignment="1" applyProtection="1">
      <alignment horizontal="center" vertical="center"/>
    </xf>
    <xf numFmtId="0" fontId="1" fillId="0" borderId="19" xfId="21" applyFont="1" applyFill="1" applyBorder="1" applyAlignment="1" applyProtection="1">
      <alignment horizontal="center" vertical="center"/>
    </xf>
    <xf numFmtId="0" fontId="4" fillId="0" borderId="20" xfId="21" quotePrefix="1" applyFont="1" applyFill="1" applyBorder="1" applyAlignment="1" applyProtection="1">
      <alignment horizontal="center" vertical="center"/>
      <protection locked="0"/>
    </xf>
    <xf numFmtId="0" fontId="4" fillId="0" borderId="0" xfId="21" applyFont="1" applyFill="1" applyBorder="1" applyAlignment="1" applyProtection="1">
      <alignment horizontal="center" vertical="center"/>
      <protection locked="0"/>
    </xf>
    <xf numFmtId="0" fontId="4" fillId="0" borderId="19" xfId="21" applyFont="1" applyFill="1" applyBorder="1" applyAlignment="1" applyProtection="1">
      <alignment horizontal="center" vertical="center"/>
      <protection locked="0"/>
    </xf>
    <xf numFmtId="167" fontId="2" fillId="27" borderId="170" xfId="1" applyNumberFormat="1" applyFont="1" applyFill="1" applyBorder="1" applyAlignment="1" applyProtection="1">
      <alignment horizontal="center" vertical="center" wrapText="1"/>
      <protection locked="0"/>
    </xf>
    <xf numFmtId="0" fontId="129" fillId="25" borderId="0" xfId="1" applyFont="1" applyFill="1" applyBorder="1" applyAlignment="1" applyProtection="1">
      <alignment horizontal="left" vertical="center"/>
    </xf>
    <xf numFmtId="0" fontId="16" fillId="27" borderId="43" xfId="1" applyFont="1" applyFill="1" applyBorder="1" applyAlignment="1" applyProtection="1">
      <alignment horizontal="center" vertical="center"/>
    </xf>
    <xf numFmtId="0" fontId="43" fillId="27" borderId="318" xfId="1" applyFont="1" applyFill="1" applyBorder="1" applyAlignment="1" applyProtection="1">
      <alignment horizontal="center" vertical="center"/>
      <protection locked="0"/>
    </xf>
    <xf numFmtId="0" fontId="2" fillId="27" borderId="319" xfId="1" applyFont="1" applyFill="1" applyBorder="1" applyAlignment="1" applyProtection="1">
      <alignment horizontal="center" vertical="center"/>
      <protection locked="0"/>
    </xf>
    <xf numFmtId="0" fontId="16" fillId="27" borderId="313" xfId="1" applyFont="1" applyFill="1" applyBorder="1" applyAlignment="1" applyProtection="1">
      <alignment horizontal="center" vertical="center"/>
      <protection locked="0"/>
    </xf>
    <xf numFmtId="0" fontId="16" fillId="27" borderId="314" xfId="1" applyFont="1" applyFill="1" applyBorder="1" applyAlignment="1" applyProtection="1">
      <alignment horizontal="center" vertical="center"/>
      <protection locked="0"/>
    </xf>
    <xf numFmtId="0" fontId="16" fillId="27" borderId="314" xfId="1" applyFont="1" applyFill="1" applyBorder="1" applyAlignment="1" applyProtection="1">
      <alignment horizontal="center" vertical="center"/>
    </xf>
    <xf numFmtId="0" fontId="16" fillId="27" borderId="315" xfId="1" applyFont="1" applyFill="1" applyBorder="1" applyAlignment="1" applyProtection="1">
      <alignment horizontal="center" vertical="center"/>
    </xf>
    <xf numFmtId="0" fontId="16" fillId="27" borderId="320" xfId="1" applyFont="1" applyFill="1" applyBorder="1" applyAlignment="1" applyProtection="1">
      <alignment horizontal="center" vertical="center"/>
      <protection locked="0"/>
    </xf>
    <xf numFmtId="0" fontId="16" fillId="27" borderId="321" xfId="1" applyFont="1" applyFill="1" applyBorder="1" applyAlignment="1" applyProtection="1">
      <alignment horizontal="center" vertical="center"/>
      <protection locked="0"/>
    </xf>
    <xf numFmtId="0" fontId="16" fillId="27" borderId="322" xfId="1" applyFont="1" applyFill="1" applyBorder="1" applyAlignment="1" applyProtection="1">
      <alignment horizontal="center" vertical="center"/>
      <protection locked="0"/>
    </xf>
    <xf numFmtId="167" fontId="2" fillId="27" borderId="178" xfId="1" applyNumberFormat="1" applyFont="1" applyFill="1" applyBorder="1" applyAlignment="1" applyProtection="1">
      <alignment horizontal="center" vertical="center"/>
      <protection locked="0"/>
    </xf>
    <xf numFmtId="167" fontId="2" fillId="27" borderId="0" xfId="1" applyNumberFormat="1" applyFont="1" applyFill="1" applyBorder="1" applyAlignment="1" applyProtection="1">
      <alignment horizontal="center" vertical="center" wrapText="1"/>
    </xf>
    <xf numFmtId="167" fontId="129" fillId="27" borderId="191" xfId="1" applyNumberFormat="1" applyFont="1" applyFill="1" applyBorder="1" applyAlignment="1" applyProtection="1">
      <alignment horizontal="center" vertical="center"/>
    </xf>
    <xf numFmtId="0" fontId="129" fillId="27" borderId="170" xfId="1" applyFont="1" applyFill="1" applyBorder="1" applyAlignment="1" applyProtection="1">
      <alignment vertical="center"/>
    </xf>
    <xf numFmtId="172" fontId="129" fillId="27" borderId="193" xfId="1" applyNumberFormat="1" applyFont="1" applyFill="1" applyBorder="1" applyAlignment="1" applyProtection="1">
      <alignment horizontal="center" vertical="center" wrapText="1"/>
    </xf>
    <xf numFmtId="172" fontId="129" fillId="27" borderId="207" xfId="1" applyNumberFormat="1" applyFont="1" applyFill="1" applyBorder="1" applyAlignment="1" applyProtection="1">
      <alignment horizontal="center" vertical="center" wrapText="1"/>
    </xf>
    <xf numFmtId="1" fontId="2" fillId="27" borderId="38" xfId="1" applyNumberFormat="1" applyFont="1" applyFill="1" applyBorder="1" applyAlignment="1" applyProtection="1">
      <alignment horizontal="center" vertical="center"/>
    </xf>
    <xf numFmtId="0" fontId="16" fillId="29" borderId="60" xfId="1" applyFont="1" applyFill="1" applyBorder="1" applyAlignment="1" applyProtection="1">
      <alignment horizontal="center" vertical="center"/>
    </xf>
    <xf numFmtId="0" fontId="16" fillId="29" borderId="61" xfId="1" applyFont="1" applyFill="1" applyBorder="1" applyAlignment="1" applyProtection="1">
      <alignment horizontal="center" vertical="center"/>
    </xf>
    <xf numFmtId="0" fontId="16" fillId="29" borderId="62" xfId="1" applyFont="1" applyFill="1" applyBorder="1" applyAlignment="1" applyProtection="1">
      <alignment horizontal="center" vertical="center"/>
    </xf>
    <xf numFmtId="1" fontId="2" fillId="27" borderId="137" xfId="1" applyNumberFormat="1" applyFont="1" applyFill="1" applyBorder="1" applyAlignment="1" applyProtection="1">
      <alignment horizontal="center" vertical="center"/>
    </xf>
    <xf numFmtId="168" fontId="2" fillId="27" borderId="347" xfId="1" applyNumberFormat="1" applyFont="1" applyFill="1" applyBorder="1" applyAlignment="1" applyProtection="1">
      <alignment horizontal="left" vertical="center"/>
    </xf>
    <xf numFmtId="168" fontId="2" fillId="27" borderId="15" xfId="1" applyNumberFormat="1" applyFont="1" applyFill="1" applyBorder="1" applyAlignment="1" applyProtection="1">
      <alignment horizontal="left" vertical="center"/>
    </xf>
    <xf numFmtId="0" fontId="129" fillId="27" borderId="196" xfId="1" applyFont="1" applyFill="1" applyBorder="1" applyAlignment="1" applyProtection="1">
      <alignment horizontal="center" vertical="center" wrapText="1"/>
    </xf>
    <xf numFmtId="0" fontId="129" fillId="27" borderId="191" xfId="1" applyFont="1" applyFill="1" applyBorder="1" applyAlignment="1" applyProtection="1">
      <alignment horizontal="center" vertical="center" wrapText="1"/>
    </xf>
    <xf numFmtId="0" fontId="129" fillId="27" borderId="197" xfId="1" applyFont="1" applyFill="1" applyBorder="1" applyAlignment="1" applyProtection="1">
      <alignment horizontal="center" vertical="center" wrapText="1"/>
    </xf>
    <xf numFmtId="167" fontId="2" fillId="27" borderId="34" xfId="1" applyNumberFormat="1" applyFont="1" applyFill="1" applyBorder="1" applyAlignment="1" applyProtection="1">
      <alignment horizontal="center" vertical="center"/>
      <protection locked="0"/>
    </xf>
    <xf numFmtId="0" fontId="43" fillId="25" borderId="205" xfId="1" applyFont="1" applyFill="1" applyBorder="1" applyAlignment="1" applyProtection="1">
      <alignment horizontal="center" vertical="center" wrapText="1"/>
    </xf>
    <xf numFmtId="0" fontId="43" fillId="25" borderId="225" xfId="1" applyFont="1" applyFill="1" applyBorder="1" applyAlignment="1" applyProtection="1">
      <alignment horizontal="center" vertical="center" wrapText="1"/>
    </xf>
    <xf numFmtId="0" fontId="129" fillId="25" borderId="205" xfId="1" applyFont="1" applyFill="1" applyBorder="1" applyAlignment="1" applyProtection="1">
      <alignment horizontal="left" vertical="center"/>
    </xf>
    <xf numFmtId="0" fontId="43" fillId="27" borderId="16" xfId="1" applyFont="1" applyFill="1" applyBorder="1" applyAlignment="1" applyProtection="1">
      <alignment vertical="center"/>
    </xf>
    <xf numFmtId="0" fontId="43" fillId="27" borderId="347" xfId="1" applyFont="1" applyFill="1" applyBorder="1" applyAlignment="1" applyProtection="1">
      <alignment vertical="center"/>
    </xf>
    <xf numFmtId="0" fontId="2" fillId="27" borderId="347" xfId="1" applyFont="1" applyFill="1" applyBorder="1" applyAlignment="1" applyProtection="1">
      <alignment horizontal="left" vertical="center"/>
    </xf>
    <xf numFmtId="0" fontId="4" fillId="2" borderId="138" xfId="150" applyFont="1" applyFill="1" applyBorder="1" applyAlignment="1" applyProtection="1">
      <alignment horizontal="center" vertical="center"/>
      <protection locked="0"/>
    </xf>
    <xf numFmtId="0" fontId="4" fillId="2" borderId="17" xfId="150" applyFont="1" applyFill="1" applyBorder="1" applyAlignment="1" applyProtection="1">
      <alignment horizontal="center" vertical="center"/>
      <protection locked="0"/>
    </xf>
    <xf numFmtId="0" fontId="4" fillId="2" borderId="100" xfId="150" applyFont="1" applyFill="1" applyBorder="1" applyAlignment="1" applyProtection="1">
      <alignment horizontal="center" vertical="center"/>
      <protection locked="0"/>
    </xf>
    <xf numFmtId="0" fontId="43" fillId="27" borderId="0" xfId="71" applyFont="1" applyFill="1" applyBorder="1" applyAlignment="1" applyProtection="1">
      <alignment horizontal="left" vertical="center" wrapText="1"/>
    </xf>
    <xf numFmtId="0" fontId="47" fillId="0" borderId="65" xfId="68" applyFont="1" applyBorder="1" applyAlignment="1" applyProtection="1">
      <alignment horizontal="center" vertical="center" wrapText="1"/>
    </xf>
    <xf numFmtId="0" fontId="3" fillId="2" borderId="0" xfId="150" applyFont="1" applyFill="1" applyBorder="1" applyAlignment="1" applyProtection="1">
      <alignment horizontal="center" vertical="center" wrapText="1"/>
    </xf>
    <xf numFmtId="0" fontId="1" fillId="2" borderId="34" xfId="150" applyFont="1" applyFill="1" applyBorder="1" applyAlignment="1" applyProtection="1">
      <alignment horizontal="center" vertical="center"/>
    </xf>
    <xf numFmtId="0" fontId="1" fillId="2" borderId="35" xfId="150" applyFont="1" applyFill="1" applyBorder="1" applyAlignment="1" applyProtection="1">
      <alignment horizontal="center" vertical="center"/>
    </xf>
    <xf numFmtId="0" fontId="1" fillId="2" borderId="37" xfId="150" applyFont="1" applyFill="1" applyBorder="1" applyAlignment="1" applyProtection="1">
      <alignment horizontal="center" vertical="center"/>
    </xf>
    <xf numFmtId="0" fontId="1" fillId="2" borderId="0" xfId="150" applyFont="1" applyFill="1" applyBorder="1" applyAlignment="1" applyProtection="1">
      <alignment horizontal="center" vertical="center"/>
    </xf>
    <xf numFmtId="0" fontId="1" fillId="2" borderId="39" xfId="150" applyFont="1" applyFill="1" applyBorder="1" applyAlignment="1" applyProtection="1">
      <alignment horizontal="center"/>
    </xf>
    <xf numFmtId="0" fontId="1" fillId="2" borderId="40" xfId="150" applyFont="1" applyFill="1" applyBorder="1" applyAlignment="1" applyProtection="1">
      <alignment horizontal="center"/>
    </xf>
    <xf numFmtId="0" fontId="5" fillId="27" borderId="34" xfId="150" applyFont="1" applyFill="1" applyBorder="1" applyAlignment="1" applyProtection="1">
      <alignment horizontal="center" vertical="center" wrapText="1"/>
    </xf>
    <xf numFmtId="0" fontId="5" fillId="27" borderId="35" xfId="150" applyFont="1" applyFill="1" applyBorder="1" applyAlignment="1" applyProtection="1">
      <alignment horizontal="center" vertical="center" wrapText="1"/>
    </xf>
    <xf numFmtId="0" fontId="5" fillId="27" borderId="99" xfId="150" applyFont="1" applyFill="1" applyBorder="1" applyAlignment="1" applyProtection="1">
      <alignment horizontal="center" vertical="center" wrapText="1"/>
    </xf>
    <xf numFmtId="0" fontId="5" fillId="27" borderId="36" xfId="150" applyFont="1" applyFill="1" applyBorder="1" applyAlignment="1" applyProtection="1">
      <alignment horizontal="center" vertical="center" wrapText="1"/>
    </xf>
    <xf numFmtId="0" fontId="5" fillId="25" borderId="20" xfId="68" applyFont="1" applyFill="1" applyBorder="1" applyAlignment="1" applyProtection="1">
      <alignment horizontal="left" indent="2"/>
    </xf>
    <xf numFmtId="0" fontId="5" fillId="25" borderId="38" xfId="68" applyFont="1" applyFill="1" applyBorder="1" applyAlignment="1" applyProtection="1">
      <alignment horizontal="left" indent="2"/>
    </xf>
    <xf numFmtId="0" fontId="5" fillId="25" borderId="60" xfId="68" applyFont="1" applyFill="1" applyBorder="1" applyAlignment="1" applyProtection="1">
      <alignment horizontal="left" indent="2"/>
    </xf>
    <xf numFmtId="0" fontId="5" fillId="25" borderId="151" xfId="68" applyFont="1" applyFill="1" applyBorder="1" applyAlignment="1" applyProtection="1">
      <alignment horizontal="left" indent="2"/>
    </xf>
    <xf numFmtId="0" fontId="4" fillId="0" borderId="107" xfId="68" applyFont="1" applyBorder="1" applyAlignment="1" applyProtection="1">
      <alignment horizontal="center"/>
    </xf>
    <xf numFmtId="0" fontId="4" fillId="0" borderId="151" xfId="68" applyFont="1" applyBorder="1" applyAlignment="1" applyProtection="1">
      <alignment horizontal="center"/>
    </xf>
    <xf numFmtId="0" fontId="5" fillId="27" borderId="37" xfId="68" applyFont="1" applyFill="1" applyBorder="1" applyAlignment="1" applyProtection="1">
      <alignment horizontal="center" vertical="center"/>
    </xf>
    <xf numFmtId="0" fontId="5" fillId="27" borderId="0" xfId="68" applyFont="1" applyFill="1" applyBorder="1" applyAlignment="1" applyProtection="1">
      <alignment horizontal="center" vertical="center"/>
    </xf>
    <xf numFmtId="0" fontId="5" fillId="27" borderId="38" xfId="68" applyFont="1" applyFill="1" applyBorder="1" applyAlignment="1" applyProtection="1">
      <alignment horizontal="center" vertical="center"/>
    </xf>
    <xf numFmtId="0" fontId="47" fillId="0" borderId="0" xfId="68" applyFont="1" applyBorder="1" applyAlignment="1" applyProtection="1">
      <alignment horizontal="center" vertical="center" wrapText="1"/>
    </xf>
    <xf numFmtId="0" fontId="94" fillId="2" borderId="57" xfId="150" applyFont="1" applyFill="1" applyBorder="1" applyAlignment="1" applyProtection="1">
      <alignment horizontal="left"/>
    </xf>
    <xf numFmtId="0" fontId="94" fillId="2" borderId="12" xfId="150" applyFont="1" applyFill="1" applyBorder="1" applyAlignment="1" applyProtection="1">
      <alignment horizontal="left"/>
    </xf>
    <xf numFmtId="0" fontId="4" fillId="0" borderId="16" xfId="71" applyFont="1" applyFill="1" applyBorder="1" applyAlignment="1" applyProtection="1">
      <alignment horizontal="justify" vertical="top" wrapText="1"/>
      <protection locked="0"/>
    </xf>
    <xf numFmtId="0" fontId="4" fillId="0" borderId="17" xfId="71" applyFont="1" applyFill="1" applyBorder="1" applyAlignment="1" applyProtection="1">
      <alignment horizontal="justify" vertical="top" wrapText="1"/>
      <protection locked="0"/>
    </xf>
    <xf numFmtId="0" fontId="4" fillId="0" borderId="15" xfId="71" applyFont="1" applyFill="1" applyBorder="1" applyAlignment="1" applyProtection="1">
      <alignment horizontal="justify" vertical="top" wrapText="1"/>
      <protection locked="0"/>
    </xf>
    <xf numFmtId="0" fontId="94" fillId="2" borderId="11" xfId="150" applyFont="1" applyFill="1" applyBorder="1" applyAlignment="1" applyProtection="1">
      <alignment horizontal="left"/>
    </xf>
    <xf numFmtId="0" fontId="45" fillId="25" borderId="61" xfId="68" applyFont="1" applyFill="1" applyBorder="1" applyAlignment="1" applyProtection="1">
      <alignment horizontal="center"/>
    </xf>
    <xf numFmtId="0" fontId="95" fillId="0" borderId="107" xfId="68" applyFont="1" applyBorder="1" applyAlignment="1" applyProtection="1">
      <alignment horizontal="center"/>
    </xf>
    <xf numFmtId="0" fontId="95" fillId="0" borderId="61" xfId="68" applyFont="1" applyBorder="1" applyAlignment="1" applyProtection="1">
      <alignment horizontal="center"/>
    </xf>
    <xf numFmtId="0" fontId="95" fillId="0" borderId="62" xfId="68" applyFont="1" applyBorder="1" applyAlignment="1" applyProtection="1">
      <alignment horizontal="center"/>
    </xf>
    <xf numFmtId="0" fontId="5" fillId="27" borderId="19" xfId="68" applyFont="1" applyFill="1" applyBorder="1" applyAlignment="1" applyProtection="1">
      <alignment horizontal="center" vertical="center"/>
    </xf>
    <xf numFmtId="0" fontId="3" fillId="25" borderId="37" xfId="71" applyFont="1" applyFill="1" applyBorder="1" applyAlignment="1" applyProtection="1">
      <alignment horizontal="center" vertical="center"/>
    </xf>
    <xf numFmtId="0" fontId="3" fillId="25" borderId="38" xfId="71" applyFont="1" applyFill="1" applyBorder="1" applyAlignment="1" applyProtection="1">
      <alignment horizontal="center" vertical="center"/>
    </xf>
    <xf numFmtId="173" fontId="84" fillId="2" borderId="0" xfId="150" applyNumberFormat="1" applyFont="1" applyFill="1" applyBorder="1" applyAlignment="1" applyProtection="1">
      <alignment horizontal="center"/>
      <protection locked="0"/>
    </xf>
    <xf numFmtId="0" fontId="90" fillId="2" borderId="12" xfId="150" applyFont="1" applyFill="1" applyBorder="1" applyAlignment="1" applyProtection="1">
      <alignment horizontal="center"/>
    </xf>
    <xf numFmtId="0" fontId="67" fillId="2" borderId="11" xfId="150" applyFill="1" applyBorder="1" applyAlignment="1" applyProtection="1">
      <alignment horizontal="center"/>
    </xf>
    <xf numFmtId="0" fontId="67" fillId="2" borderId="10" xfId="150" applyFill="1" applyBorder="1" applyAlignment="1" applyProtection="1">
      <alignment horizontal="center"/>
    </xf>
    <xf numFmtId="0" fontId="1" fillId="2" borderId="20" xfId="150" applyFont="1" applyFill="1" applyBorder="1" applyAlignment="1" applyProtection="1">
      <alignment horizontal="left" vertical="center"/>
    </xf>
    <xf numFmtId="0" fontId="1" fillId="2" borderId="0" xfId="150" applyFont="1" applyFill="1" applyBorder="1" applyAlignment="1" applyProtection="1">
      <alignment horizontal="left" vertical="center"/>
    </xf>
    <xf numFmtId="0" fontId="1" fillId="2" borderId="52" xfId="150" applyFont="1" applyFill="1" applyBorder="1" applyAlignment="1" applyProtection="1">
      <alignment horizontal="left" vertical="center"/>
    </xf>
    <xf numFmtId="0" fontId="1" fillId="2" borderId="53" xfId="150" applyFont="1" applyFill="1" applyBorder="1" applyAlignment="1" applyProtection="1">
      <alignment horizontal="left" vertical="center"/>
    </xf>
    <xf numFmtId="0" fontId="43" fillId="0" borderId="20" xfId="71" applyFont="1" applyFill="1" applyBorder="1" applyAlignment="1" applyProtection="1">
      <alignment horizontal="left" vertical="center" wrapText="1"/>
    </xf>
    <xf numFmtId="0" fontId="43" fillId="0" borderId="0" xfId="71" applyFont="1" applyFill="1" applyBorder="1" applyAlignment="1" applyProtection="1">
      <alignment horizontal="left" vertical="center" wrapText="1"/>
    </xf>
    <xf numFmtId="0" fontId="4" fillId="0" borderId="0" xfId="150" applyFont="1" applyFill="1" applyBorder="1" applyAlignment="1" applyProtection="1">
      <alignment horizontal="left" vertical="top"/>
      <protection locked="0"/>
    </xf>
    <xf numFmtId="0" fontId="4" fillId="0" borderId="19" xfId="150" applyFont="1" applyFill="1" applyBorder="1" applyAlignment="1" applyProtection="1">
      <alignment horizontal="left" vertical="top"/>
      <protection locked="0"/>
    </xf>
    <xf numFmtId="173" fontId="1" fillId="2" borderId="0" xfId="150" applyNumberFormat="1" applyFont="1" applyFill="1" applyBorder="1" applyAlignment="1" applyProtection="1">
      <alignment horizontal="center"/>
    </xf>
    <xf numFmtId="173" fontId="1" fillId="2" borderId="19" xfId="150" applyNumberFormat="1" applyFont="1" applyFill="1" applyBorder="1" applyAlignment="1" applyProtection="1">
      <alignment horizontal="center"/>
    </xf>
    <xf numFmtId="0" fontId="2" fillId="2" borderId="53" xfId="150" applyFont="1" applyFill="1" applyBorder="1" applyAlignment="1" applyProtection="1">
      <alignment horizontal="left" vertical="center"/>
    </xf>
    <xf numFmtId="0" fontId="74" fillId="31" borderId="70" xfId="150" applyFont="1" applyFill="1" applyBorder="1" applyAlignment="1" applyProtection="1">
      <alignment horizontal="center" vertical="center" wrapText="1"/>
    </xf>
    <xf numFmtId="0" fontId="76" fillId="2" borderId="0" xfId="150" applyFont="1" applyFill="1" applyBorder="1" applyAlignment="1" applyProtection="1">
      <alignment horizontal="center"/>
      <protection locked="0"/>
    </xf>
    <xf numFmtId="0" fontId="1" fillId="0" borderId="14" xfId="71" applyFont="1" applyBorder="1" applyAlignment="1" applyProtection="1">
      <alignment horizontal="center" vertical="center"/>
    </xf>
    <xf numFmtId="0" fontId="1" fillId="0" borderId="18" xfId="71" applyFont="1" applyBorder="1" applyAlignment="1" applyProtection="1">
      <alignment horizontal="center" vertical="center"/>
    </xf>
    <xf numFmtId="0" fontId="1" fillId="0" borderId="20" xfId="71" applyFont="1" applyBorder="1" applyAlignment="1" applyProtection="1">
      <alignment horizontal="center" vertical="center"/>
    </xf>
    <xf numFmtId="0" fontId="1" fillId="0" borderId="19" xfId="71" applyFont="1" applyBorder="1" applyAlignment="1" applyProtection="1">
      <alignment horizontal="center" vertical="center"/>
    </xf>
    <xf numFmtId="0" fontId="1" fillId="0" borderId="16" xfId="71" applyFont="1" applyBorder="1" applyAlignment="1" applyProtection="1">
      <alignment horizontal="center" vertical="center"/>
    </xf>
    <xf numFmtId="0" fontId="1" fillId="0" borderId="15" xfId="71" applyFont="1" applyBorder="1" applyAlignment="1" applyProtection="1">
      <alignment horizontal="center" vertical="center"/>
    </xf>
    <xf numFmtId="0" fontId="5" fillId="0" borderId="20" xfId="71" applyFont="1" applyBorder="1" applyAlignment="1" applyProtection="1">
      <alignment horizontal="center" wrapText="1"/>
    </xf>
    <xf numFmtId="0" fontId="5" fillId="0" borderId="0" xfId="71" applyFont="1" applyBorder="1" applyAlignment="1" applyProtection="1">
      <alignment horizontal="center" wrapText="1"/>
    </xf>
    <xf numFmtId="0" fontId="5" fillId="0" borderId="19" xfId="71" applyFont="1" applyBorder="1" applyAlignment="1" applyProtection="1">
      <alignment horizontal="center" wrapText="1"/>
    </xf>
    <xf numFmtId="0" fontId="140" fillId="0" borderId="57" xfId="71" applyFont="1" applyBorder="1" applyAlignment="1" applyProtection="1">
      <alignment horizontal="left" vertical="center"/>
    </xf>
    <xf numFmtId="0" fontId="2" fillId="27" borderId="0" xfId="71" applyFont="1" applyFill="1" applyBorder="1" applyAlignment="1" applyProtection="1">
      <alignment horizontal="left" vertical="center"/>
    </xf>
    <xf numFmtId="0" fontId="2" fillId="27" borderId="0" xfId="71" applyFont="1" applyFill="1" applyBorder="1" applyAlignment="1" applyProtection="1">
      <alignment horizontal="left" vertical="center" wrapText="1"/>
    </xf>
    <xf numFmtId="0" fontId="2" fillId="27" borderId="13" xfId="0" applyFont="1" applyFill="1" applyBorder="1" applyAlignment="1" applyProtection="1">
      <alignment horizontal="left" vertical="center"/>
      <protection locked="0"/>
    </xf>
    <xf numFmtId="0" fontId="2" fillId="27" borderId="18" xfId="0" applyFont="1" applyFill="1" applyBorder="1" applyAlignment="1" applyProtection="1">
      <alignment horizontal="left" vertical="center"/>
      <protection locked="0"/>
    </xf>
    <xf numFmtId="0" fontId="4" fillId="27" borderId="13" xfId="71" applyFont="1" applyFill="1" applyBorder="1" applyAlignment="1" applyProtection="1">
      <alignment horizontal="left" vertical="top" wrapText="1"/>
      <protection locked="0"/>
    </xf>
    <xf numFmtId="0" fontId="4" fillId="27" borderId="18" xfId="71" applyFont="1" applyFill="1" applyBorder="1" applyAlignment="1" applyProtection="1">
      <alignment horizontal="left" vertical="top" wrapText="1"/>
      <protection locked="0"/>
    </xf>
    <xf numFmtId="167" fontId="2" fillId="27" borderId="298" xfId="210" applyNumberFormat="1" applyFont="1" applyFill="1" applyBorder="1" applyAlignment="1" applyProtection="1">
      <alignment horizontal="center" vertical="center"/>
    </xf>
    <xf numFmtId="167" fontId="2" fillId="27" borderId="216" xfId="210" applyNumberFormat="1" applyFont="1" applyFill="1" applyBorder="1" applyAlignment="1" applyProtection="1">
      <alignment horizontal="center" vertical="center"/>
    </xf>
    <xf numFmtId="0" fontId="2" fillId="27" borderId="211" xfId="210" applyFont="1" applyFill="1" applyBorder="1" applyAlignment="1" applyProtection="1">
      <alignment horizontal="center" vertical="center"/>
      <protection locked="0"/>
    </xf>
    <xf numFmtId="0" fontId="2" fillId="27" borderId="212" xfId="210" applyFont="1" applyFill="1" applyBorder="1" applyAlignment="1" applyProtection="1">
      <alignment horizontal="center" vertical="center"/>
      <protection locked="0"/>
    </xf>
    <xf numFmtId="0" fontId="2" fillId="27" borderId="222" xfId="210" applyFont="1" applyFill="1" applyBorder="1" applyAlignment="1" applyProtection="1">
      <alignment horizontal="center" vertical="center"/>
      <protection locked="0"/>
    </xf>
    <xf numFmtId="0" fontId="2" fillId="27" borderId="184" xfId="210" applyFont="1" applyFill="1" applyBorder="1" applyAlignment="1" applyProtection="1">
      <alignment horizontal="center" vertical="center"/>
      <protection locked="0"/>
    </xf>
    <xf numFmtId="167" fontId="2" fillId="27" borderId="222" xfId="210" applyNumberFormat="1" applyFont="1" applyFill="1" applyBorder="1" applyAlignment="1" applyProtection="1">
      <alignment horizontal="center" vertical="center"/>
      <protection locked="0"/>
    </xf>
    <xf numFmtId="167" fontId="2" fillId="27" borderId="184" xfId="210" applyNumberFormat="1" applyFont="1" applyFill="1" applyBorder="1" applyAlignment="1" applyProtection="1">
      <alignment horizontal="center" vertical="center"/>
      <protection locked="0"/>
    </xf>
    <xf numFmtId="167" fontId="2" fillId="27" borderId="213" xfId="210" applyNumberFormat="1" applyFont="1" applyFill="1" applyBorder="1" applyAlignment="1" applyProtection="1">
      <alignment horizontal="center" vertical="center"/>
    </xf>
    <xf numFmtId="167" fontId="2" fillId="27" borderId="214" xfId="210" applyNumberFormat="1" applyFont="1" applyFill="1" applyBorder="1" applyAlignment="1" applyProtection="1">
      <alignment horizontal="center" vertical="center"/>
    </xf>
    <xf numFmtId="0" fontId="3" fillId="31" borderId="87" xfId="150" applyFont="1" applyFill="1" applyBorder="1" applyAlignment="1" applyProtection="1">
      <alignment horizontal="center" vertical="center" wrapText="1"/>
    </xf>
    <xf numFmtId="0" fontId="3" fillId="31" borderId="88" xfId="150" applyFont="1" applyFill="1" applyBorder="1" applyAlignment="1" applyProtection="1">
      <alignment horizontal="center" vertical="center" wrapText="1"/>
    </xf>
    <xf numFmtId="0" fontId="3" fillId="31" borderId="89" xfId="150" applyFont="1" applyFill="1" applyBorder="1" applyAlignment="1" applyProtection="1">
      <alignment horizontal="center" vertical="center" wrapText="1"/>
    </xf>
    <xf numFmtId="0" fontId="5" fillId="25" borderId="14" xfId="210" applyFont="1" applyFill="1" applyBorder="1" applyAlignment="1" applyProtection="1">
      <alignment horizontal="center" vertical="center"/>
    </xf>
    <xf numFmtId="0" fontId="5" fillId="25" borderId="13" xfId="210" applyFont="1" applyFill="1" applyBorder="1" applyAlignment="1" applyProtection="1">
      <alignment horizontal="center" vertical="center"/>
    </xf>
    <xf numFmtId="0" fontId="5" fillId="25" borderId="18" xfId="210" applyFont="1" applyFill="1" applyBorder="1" applyAlignment="1" applyProtection="1">
      <alignment horizontal="center" vertical="center"/>
    </xf>
    <xf numFmtId="0" fontId="2" fillId="27" borderId="166" xfId="210" applyFont="1" applyFill="1" applyBorder="1" applyAlignment="1" applyProtection="1">
      <alignment horizontal="center" vertical="center"/>
      <protection locked="0"/>
    </xf>
    <xf numFmtId="0" fontId="2" fillId="27" borderId="210" xfId="210" applyFont="1" applyFill="1" applyBorder="1" applyAlignment="1" applyProtection="1">
      <alignment horizontal="center" vertical="center"/>
      <protection locked="0"/>
    </xf>
    <xf numFmtId="0" fontId="2" fillId="27" borderId="173" xfId="210" applyFont="1" applyFill="1" applyBorder="1" applyAlignment="1" applyProtection="1">
      <alignment horizontal="center" vertical="center"/>
      <protection locked="0"/>
    </xf>
    <xf numFmtId="0" fontId="2" fillId="27" borderId="218" xfId="210" applyFont="1" applyFill="1" applyBorder="1" applyAlignment="1" applyProtection="1">
      <alignment horizontal="center" vertical="center"/>
      <protection locked="0"/>
    </xf>
    <xf numFmtId="167" fontId="2" fillId="27" borderId="173" xfId="210" applyNumberFormat="1" applyFont="1" applyFill="1" applyBorder="1" applyAlignment="1" applyProtection="1">
      <alignment horizontal="center" vertical="center"/>
      <protection locked="0"/>
    </xf>
    <xf numFmtId="167" fontId="2" fillId="27" borderId="218" xfId="210" applyNumberFormat="1" applyFont="1" applyFill="1" applyBorder="1" applyAlignment="1" applyProtection="1">
      <alignment horizontal="center" vertical="center"/>
      <protection locked="0"/>
    </xf>
    <xf numFmtId="0" fontId="140" fillId="27" borderId="57" xfId="71" applyFont="1" applyFill="1" applyBorder="1" applyAlignment="1" applyProtection="1">
      <alignment horizontal="left" vertical="center"/>
    </xf>
    <xf numFmtId="0" fontId="3" fillId="0" borderId="14" xfId="71" applyFont="1" applyBorder="1" applyAlignment="1" applyProtection="1">
      <alignment horizontal="center" vertical="center" wrapText="1"/>
    </xf>
    <xf numFmtId="0" fontId="3" fillId="0" borderId="13" xfId="71" applyFont="1" applyBorder="1" applyAlignment="1" applyProtection="1">
      <alignment horizontal="center" vertical="center" wrapText="1"/>
    </xf>
    <xf numFmtId="0" fontId="3" fillId="0" borderId="18" xfId="71" applyFont="1" applyBorder="1" applyAlignment="1" applyProtection="1">
      <alignment horizontal="center" vertical="center" wrapText="1"/>
    </xf>
    <xf numFmtId="0" fontId="3" fillId="0" borderId="20" xfId="71" applyFont="1" applyBorder="1" applyAlignment="1" applyProtection="1">
      <alignment horizontal="center" vertical="center" wrapText="1"/>
    </xf>
    <xf numFmtId="0" fontId="3" fillId="0" borderId="0" xfId="71" applyFont="1" applyBorder="1" applyAlignment="1" applyProtection="1">
      <alignment horizontal="center" vertical="center" wrapText="1"/>
    </xf>
    <xf numFmtId="0" fontId="3" fillId="0" borderId="19" xfId="71" applyFont="1" applyBorder="1" applyAlignment="1" applyProtection="1">
      <alignment horizontal="center" vertical="center" wrapText="1"/>
    </xf>
    <xf numFmtId="0" fontId="3" fillId="0" borderId="16" xfId="71" applyFont="1" applyBorder="1" applyAlignment="1" applyProtection="1">
      <alignment horizontal="center" vertical="center" wrapText="1"/>
    </xf>
    <xf numFmtId="0" fontId="3" fillId="0" borderId="17" xfId="71" applyFont="1" applyBorder="1" applyAlignment="1" applyProtection="1">
      <alignment horizontal="center" vertical="center" wrapText="1"/>
    </xf>
    <xf numFmtId="0" fontId="3" fillId="0" borderId="15" xfId="71" applyFont="1" applyBorder="1" applyAlignment="1" applyProtection="1">
      <alignment horizontal="center" vertical="center" wrapText="1"/>
    </xf>
    <xf numFmtId="0" fontId="2" fillId="27" borderId="13" xfId="71" applyFont="1" applyFill="1" applyBorder="1" applyAlignment="1" applyProtection="1">
      <alignment vertical="center" wrapText="1"/>
      <protection locked="0"/>
    </xf>
    <xf numFmtId="0" fontId="2" fillId="27" borderId="18" xfId="71" applyFont="1" applyFill="1" applyBorder="1" applyAlignment="1" applyProtection="1">
      <alignment vertical="center" wrapText="1"/>
      <protection locked="0"/>
    </xf>
    <xf numFmtId="0" fontId="2" fillId="2" borderId="0" xfId="150" applyFont="1" applyFill="1" applyBorder="1" applyAlignment="1" applyProtection="1">
      <alignment vertical="center"/>
    </xf>
    <xf numFmtId="0" fontId="2" fillId="2" borderId="0" xfId="210" applyFont="1" applyFill="1" applyBorder="1" applyAlignment="1" applyProtection="1"/>
    <xf numFmtId="0" fontId="2" fillId="2" borderId="19" xfId="210" applyFont="1" applyFill="1" applyBorder="1" applyAlignment="1" applyProtection="1"/>
    <xf numFmtId="0" fontId="2" fillId="27" borderId="13" xfId="68" applyFont="1" applyFill="1" applyBorder="1" applyAlignment="1" applyProtection="1">
      <alignment vertical="center"/>
    </xf>
    <xf numFmtId="0" fontId="4" fillId="2" borderId="0" xfId="210" applyFont="1" applyFill="1" applyBorder="1" applyAlignment="1" applyProtection="1">
      <alignment horizontal="left" vertical="center"/>
    </xf>
    <xf numFmtId="0" fontId="43" fillId="27" borderId="20" xfId="150" applyFont="1" applyFill="1" applyBorder="1" applyAlignment="1" applyProtection="1">
      <alignment vertical="center"/>
    </xf>
    <xf numFmtId="0" fontId="2" fillId="2" borderId="0" xfId="150" applyFont="1" applyFill="1" applyBorder="1" applyAlignment="1" applyProtection="1">
      <alignment vertical="center" wrapText="1"/>
    </xf>
    <xf numFmtId="168" fontId="2" fillId="27" borderId="0" xfId="71" applyNumberFormat="1" applyFont="1" applyFill="1" applyBorder="1" applyAlignment="1" applyProtection="1">
      <alignment vertical="center" wrapText="1"/>
    </xf>
    <xf numFmtId="168" fontId="2" fillId="27" borderId="19" xfId="71" applyNumberFormat="1" applyFont="1" applyFill="1" applyBorder="1" applyAlignment="1" applyProtection="1">
      <alignment vertical="center" wrapText="1"/>
    </xf>
    <xf numFmtId="168" fontId="2" fillId="27" borderId="0" xfId="71" applyNumberFormat="1" applyFont="1" applyFill="1" applyBorder="1" applyAlignment="1" applyProtection="1">
      <alignment vertical="center" wrapText="1"/>
      <protection locked="0"/>
    </xf>
    <xf numFmtId="168" fontId="2" fillId="27" borderId="19" xfId="71" applyNumberFormat="1" applyFont="1" applyFill="1" applyBorder="1" applyAlignment="1" applyProtection="1">
      <alignment vertical="center" wrapText="1"/>
      <protection locked="0"/>
    </xf>
    <xf numFmtId="0" fontId="1" fillId="2" borderId="14" xfId="210" applyFont="1" applyFill="1" applyBorder="1" applyAlignment="1" applyProtection="1">
      <alignment horizontal="center"/>
    </xf>
    <xf numFmtId="0" fontId="1" fillId="2" borderId="13" xfId="210" applyFont="1" applyFill="1" applyBorder="1" applyAlignment="1" applyProtection="1">
      <alignment horizontal="center"/>
    </xf>
    <xf numFmtId="0" fontId="1" fillId="2" borderId="18" xfId="210" applyFont="1" applyFill="1" applyBorder="1" applyAlignment="1" applyProtection="1">
      <alignment horizontal="center"/>
    </xf>
    <xf numFmtId="0" fontId="2" fillId="2" borderId="17" xfId="150" applyFont="1" applyFill="1" applyBorder="1" applyAlignment="1" applyProtection="1">
      <alignment vertical="center"/>
    </xf>
    <xf numFmtId="0" fontId="172" fillId="25" borderId="14" xfId="210" applyFont="1" applyFill="1" applyBorder="1" applyAlignment="1" applyProtection="1">
      <alignment horizontal="center"/>
    </xf>
    <xf numFmtId="0" fontId="172" fillId="25" borderId="13" xfId="210" applyFont="1" applyFill="1" applyBorder="1" applyAlignment="1" applyProtection="1">
      <alignment horizontal="center"/>
    </xf>
    <xf numFmtId="0" fontId="172" fillId="25" borderId="105" xfId="210" applyFont="1" applyFill="1" applyBorder="1" applyAlignment="1" applyProtection="1">
      <alignment horizontal="center"/>
    </xf>
    <xf numFmtId="0" fontId="43" fillId="25" borderId="37" xfId="68" applyFont="1" applyFill="1" applyBorder="1" applyAlignment="1" applyProtection="1">
      <alignment horizontal="center" vertical="center"/>
    </xf>
    <xf numFmtId="0" fontId="43" fillId="25" borderId="0" xfId="68" applyFont="1" applyFill="1" applyBorder="1" applyAlignment="1" applyProtection="1">
      <alignment horizontal="center" vertical="center"/>
    </xf>
    <xf numFmtId="0" fontId="43" fillId="25" borderId="38" xfId="68" applyFont="1" applyFill="1" applyBorder="1" applyAlignment="1" applyProtection="1">
      <alignment horizontal="center" vertical="center"/>
    </xf>
    <xf numFmtId="0" fontId="43" fillId="25" borderId="109" xfId="68" applyFont="1" applyFill="1" applyBorder="1" applyAlignment="1" applyProtection="1">
      <alignment horizontal="center" vertical="top"/>
    </xf>
    <xf numFmtId="0" fontId="43" fillId="25" borderId="13" xfId="68" applyFont="1" applyFill="1" applyBorder="1" applyAlignment="1" applyProtection="1">
      <alignment horizontal="center" vertical="top"/>
    </xf>
    <xf numFmtId="0" fontId="43" fillId="25" borderId="18" xfId="68" applyFont="1" applyFill="1" applyBorder="1" applyAlignment="1" applyProtection="1">
      <alignment horizontal="center" vertical="top"/>
    </xf>
    <xf numFmtId="0" fontId="4" fillId="2" borderId="0" xfId="150" applyFont="1" applyFill="1" applyBorder="1" applyAlignment="1" applyProtection="1">
      <alignment horizontal="left" vertical="center"/>
    </xf>
    <xf numFmtId="0" fontId="4" fillId="27" borderId="165" xfId="210" applyFont="1" applyFill="1" applyBorder="1" applyAlignment="1" applyProtection="1">
      <alignment horizontal="left" vertical="center"/>
    </xf>
    <xf numFmtId="0" fontId="4" fillId="27" borderId="166" xfId="210" applyFont="1" applyFill="1" applyBorder="1" applyAlignment="1" applyProtection="1">
      <alignment horizontal="left" vertical="center"/>
    </xf>
    <xf numFmtId="0" fontId="4" fillId="27" borderId="20" xfId="210" applyFont="1" applyFill="1" applyBorder="1" applyAlignment="1" applyProtection="1">
      <alignment horizontal="left" vertical="center" wrapText="1"/>
    </xf>
    <xf numFmtId="0" fontId="4" fillId="27" borderId="0" xfId="210" applyFont="1" applyFill="1" applyBorder="1" applyAlignment="1" applyProtection="1">
      <alignment horizontal="left" vertical="center" wrapText="1"/>
    </xf>
    <xf numFmtId="0" fontId="4" fillId="27" borderId="208" xfId="210" applyFont="1" applyFill="1" applyBorder="1" applyAlignment="1" applyProtection="1">
      <alignment horizontal="left" vertical="center"/>
    </xf>
    <xf numFmtId="0" fontId="4" fillId="27" borderId="191" xfId="210" applyFont="1" applyFill="1" applyBorder="1" applyAlignment="1" applyProtection="1">
      <alignment horizontal="left" vertical="center"/>
    </xf>
    <xf numFmtId="0" fontId="4" fillId="27" borderId="145" xfId="210" applyFont="1" applyFill="1" applyBorder="1" applyAlignment="1" applyProtection="1">
      <alignment horizontal="left" vertical="center" wrapText="1"/>
    </xf>
    <xf numFmtId="0" fontId="4" fillId="27" borderId="144" xfId="210" applyFont="1" applyFill="1" applyBorder="1" applyAlignment="1" applyProtection="1">
      <alignment horizontal="left" vertical="center" wrapText="1"/>
    </xf>
    <xf numFmtId="0" fontId="1" fillId="0" borderId="16" xfId="71" applyFont="1" applyFill="1" applyBorder="1" applyAlignment="1" applyProtection="1">
      <alignment horizontal="center"/>
    </xf>
    <xf numFmtId="0" fontId="1" fillId="0" borderId="17" xfId="71" applyFont="1" applyFill="1" applyBorder="1" applyAlignment="1" applyProtection="1">
      <alignment horizontal="center"/>
    </xf>
    <xf numFmtId="0" fontId="1" fillId="0" borderId="15" xfId="71" applyFont="1" applyFill="1" applyBorder="1" applyAlignment="1" applyProtection="1">
      <alignment horizontal="center"/>
    </xf>
    <xf numFmtId="0" fontId="5" fillId="27" borderId="14" xfId="71" applyFont="1" applyFill="1" applyBorder="1" applyAlignment="1" applyProtection="1">
      <alignment vertical="top" wrapText="1"/>
    </xf>
    <xf numFmtId="0" fontId="5" fillId="27" borderId="13" xfId="71" applyFont="1" applyFill="1" applyBorder="1" applyAlignment="1" applyProtection="1">
      <alignment vertical="top" wrapText="1"/>
    </xf>
    <xf numFmtId="0" fontId="4" fillId="27" borderId="16" xfId="71" applyFont="1" applyFill="1" applyBorder="1" applyAlignment="1" applyProtection="1">
      <alignment horizontal="left" vertical="top" wrapText="1"/>
      <protection locked="0"/>
    </xf>
    <xf numFmtId="0" fontId="4" fillId="27" borderId="17" xfId="71" applyFont="1" applyFill="1" applyBorder="1" applyAlignment="1" applyProtection="1">
      <alignment horizontal="left" vertical="top" wrapText="1"/>
      <protection locked="0"/>
    </xf>
    <xf numFmtId="0" fontId="4" fillId="27" borderId="15" xfId="71" applyFont="1" applyFill="1" applyBorder="1" applyAlignment="1" applyProtection="1">
      <alignment horizontal="left" vertical="top" wrapText="1"/>
      <protection locked="0"/>
    </xf>
    <xf numFmtId="1" fontId="5" fillId="27" borderId="145" xfId="210" applyNumberFormat="1" applyFont="1" applyFill="1" applyBorder="1" applyAlignment="1" applyProtection="1">
      <alignment horizontal="center" vertical="center"/>
    </xf>
    <xf numFmtId="1" fontId="5" fillId="27" borderId="144" xfId="210" applyNumberFormat="1" applyFont="1" applyFill="1" applyBorder="1" applyAlignment="1" applyProtection="1">
      <alignment horizontal="center" vertical="center"/>
    </xf>
    <xf numFmtId="1" fontId="5" fillId="27" borderId="227" xfId="210" applyNumberFormat="1" applyFont="1" applyFill="1" applyBorder="1" applyAlignment="1" applyProtection="1">
      <alignment horizontal="center" vertical="center"/>
    </xf>
    <xf numFmtId="0" fontId="43" fillId="25" borderId="20" xfId="208" applyFont="1" applyFill="1" applyBorder="1" applyAlignment="1" applyProtection="1">
      <alignment horizontal="left"/>
    </xf>
    <xf numFmtId="0" fontId="43" fillId="25" borderId="0" xfId="208" applyFont="1" applyFill="1" applyBorder="1" applyAlignment="1" applyProtection="1">
      <alignment horizontal="left"/>
    </xf>
    <xf numFmtId="0" fontId="43" fillId="25" borderId="38" xfId="208" applyFont="1" applyFill="1" applyBorder="1" applyAlignment="1" applyProtection="1">
      <alignment horizontal="left"/>
    </xf>
    <xf numFmtId="0" fontId="43" fillId="27" borderId="37" xfId="68" applyFont="1" applyFill="1" applyBorder="1" applyAlignment="1" applyProtection="1">
      <alignment horizontal="center" vertical="center"/>
    </xf>
    <xf numFmtId="0" fontId="43" fillId="27" borderId="0" xfId="68" applyFont="1" applyFill="1" applyBorder="1" applyAlignment="1" applyProtection="1">
      <alignment horizontal="center" vertical="center"/>
    </xf>
    <xf numFmtId="0" fontId="43" fillId="27" borderId="38" xfId="68" applyFont="1" applyFill="1" applyBorder="1" applyAlignment="1" applyProtection="1">
      <alignment horizontal="center" vertical="center"/>
    </xf>
    <xf numFmtId="0" fontId="43" fillId="27" borderId="37" xfId="68" applyFont="1" applyFill="1" applyBorder="1" applyAlignment="1" applyProtection="1">
      <alignment horizontal="center" vertical="top"/>
    </xf>
    <xf numFmtId="0" fontId="43" fillId="27" borderId="0" xfId="68" applyFont="1" applyFill="1" applyBorder="1" applyAlignment="1" applyProtection="1">
      <alignment horizontal="center" vertical="top"/>
    </xf>
    <xf numFmtId="0" fontId="43" fillId="27" borderId="19" xfId="68" applyFont="1" applyFill="1" applyBorder="1" applyAlignment="1" applyProtection="1">
      <alignment horizontal="center" vertical="top"/>
    </xf>
    <xf numFmtId="0" fontId="43" fillId="25" borderId="20" xfId="208" applyFont="1" applyFill="1" applyBorder="1" applyAlignment="1" applyProtection="1">
      <alignment horizontal="left" vertical="center"/>
    </xf>
    <xf numFmtId="0" fontId="43" fillId="25" borderId="0" xfId="208" applyFont="1" applyFill="1" applyBorder="1" applyAlignment="1" applyProtection="1">
      <alignment horizontal="left" vertical="center"/>
    </xf>
    <xf numFmtId="0" fontId="43" fillId="25" borderId="38" xfId="208" applyFont="1" applyFill="1" applyBorder="1" applyAlignment="1" applyProtection="1">
      <alignment horizontal="left" vertical="center"/>
    </xf>
    <xf numFmtId="0" fontId="2" fillId="27" borderId="37" xfId="68" quotePrefix="1" applyFont="1" applyFill="1" applyBorder="1" applyAlignment="1" applyProtection="1">
      <alignment horizontal="center" vertical="center"/>
      <protection locked="0"/>
    </xf>
    <xf numFmtId="0" fontId="2" fillId="27" borderId="0" xfId="68" applyFont="1" applyFill="1" applyBorder="1" applyAlignment="1" applyProtection="1">
      <alignment horizontal="center" vertical="center"/>
      <protection locked="0"/>
    </xf>
    <xf numFmtId="0" fontId="2" fillId="27" borderId="38" xfId="68" applyFont="1" applyFill="1" applyBorder="1" applyAlignment="1" applyProtection="1">
      <alignment horizontal="center" vertical="center"/>
      <protection locked="0"/>
    </xf>
    <xf numFmtId="0" fontId="2" fillId="27" borderId="19" xfId="68" applyFont="1" applyFill="1" applyBorder="1" applyAlignment="1" applyProtection="1">
      <alignment horizontal="center" vertical="center"/>
      <protection locked="0"/>
    </xf>
    <xf numFmtId="0" fontId="43" fillId="25" borderId="60" xfId="208" applyFont="1" applyFill="1" applyBorder="1" applyAlignment="1" applyProtection="1">
      <alignment horizontal="left" vertical="center"/>
    </xf>
    <xf numFmtId="0" fontId="43" fillId="25" borderId="61" xfId="208" applyFont="1" applyFill="1" applyBorder="1" applyAlignment="1" applyProtection="1">
      <alignment horizontal="left" vertical="center"/>
    </xf>
    <xf numFmtId="0" fontId="43" fillId="25" borderId="151" xfId="208" applyFont="1" applyFill="1" applyBorder="1" applyAlignment="1" applyProtection="1">
      <alignment horizontal="left" vertical="center"/>
    </xf>
    <xf numFmtId="0" fontId="2" fillId="27" borderId="107" xfId="68" applyFont="1" applyFill="1" applyBorder="1" applyAlignment="1" applyProtection="1">
      <alignment horizontal="center" vertical="center"/>
    </xf>
    <xf numFmtId="0" fontId="2" fillId="27" borderId="61" xfId="68" applyFont="1" applyFill="1" applyBorder="1" applyAlignment="1" applyProtection="1">
      <alignment horizontal="center" vertical="center"/>
    </xf>
    <xf numFmtId="0" fontId="2" fillId="27" borderId="151" xfId="68" applyFont="1" applyFill="1" applyBorder="1" applyAlignment="1" applyProtection="1">
      <alignment horizontal="center" vertical="center"/>
    </xf>
    <xf numFmtId="0" fontId="2" fillId="27" borderId="62" xfId="68" applyFont="1" applyFill="1" applyBorder="1" applyAlignment="1" applyProtection="1">
      <alignment horizontal="center" vertical="center"/>
    </xf>
    <xf numFmtId="0" fontId="2" fillId="27" borderId="0" xfId="71" applyFont="1" applyFill="1" applyBorder="1" applyAlignment="1" applyProtection="1">
      <alignment wrapText="1"/>
    </xf>
    <xf numFmtId="0" fontId="2" fillId="27" borderId="19" xfId="71" applyFont="1" applyFill="1" applyBorder="1" applyAlignment="1" applyProtection="1">
      <alignment wrapText="1"/>
    </xf>
    <xf numFmtId="0" fontId="43" fillId="0" borderId="40" xfId="21" applyFont="1" applyFill="1" applyBorder="1" applyAlignment="1" applyProtection="1">
      <alignment vertical="center"/>
    </xf>
    <xf numFmtId="0" fontId="140" fillId="0" borderId="13" xfId="21" applyFont="1" applyFill="1" applyBorder="1" applyAlignment="1" applyProtection="1">
      <alignment horizontal="left" vertical="center"/>
    </xf>
    <xf numFmtId="0" fontId="140" fillId="0" borderId="18" xfId="21" applyFont="1" applyFill="1" applyBorder="1" applyAlignment="1" applyProtection="1">
      <alignment horizontal="left" vertical="center"/>
    </xf>
    <xf numFmtId="0" fontId="5" fillId="0" borderId="14" xfId="21" applyFont="1" applyFill="1" applyBorder="1" applyAlignment="1" applyProtection="1">
      <alignment horizontal="center" vertical="center" wrapText="1"/>
    </xf>
    <xf numFmtId="0" fontId="5" fillId="0" borderId="13" xfId="21" applyFont="1" applyFill="1" applyBorder="1" applyAlignment="1" applyProtection="1">
      <alignment horizontal="center" vertical="center" wrapText="1"/>
    </xf>
    <xf numFmtId="0" fontId="5" fillId="0" borderId="18" xfId="21" applyFont="1" applyFill="1" applyBorder="1" applyAlignment="1" applyProtection="1">
      <alignment horizontal="center" vertical="center" wrapText="1"/>
    </xf>
    <xf numFmtId="0" fontId="5" fillId="0" borderId="0" xfId="21" applyFont="1" applyFill="1" applyBorder="1" applyAlignment="1" applyProtection="1">
      <alignment horizontal="center" vertical="center" wrapText="1"/>
    </xf>
    <xf numFmtId="0" fontId="5" fillId="0" borderId="19" xfId="21" applyFont="1" applyFill="1" applyBorder="1" applyAlignment="1" applyProtection="1">
      <alignment horizontal="center" vertical="center" wrapText="1"/>
    </xf>
    <xf numFmtId="0" fontId="140" fillId="0" borderId="10" xfId="21" applyFont="1" applyFill="1" applyBorder="1" applyAlignment="1" applyProtection="1">
      <alignment horizontal="left" vertical="center" wrapText="1"/>
    </xf>
    <xf numFmtId="0" fontId="140" fillId="0" borderId="57" xfId="21" applyFont="1" applyFill="1" applyBorder="1" applyAlignment="1" applyProtection="1">
      <alignment horizontal="left" vertical="center" wrapText="1"/>
    </xf>
    <xf numFmtId="0" fontId="2" fillId="0" borderId="13" xfId="21" applyFont="1" applyFill="1" applyBorder="1" applyAlignment="1" applyProtection="1">
      <alignment vertical="center"/>
    </xf>
    <xf numFmtId="0" fontId="2" fillId="0" borderId="40" xfId="21" applyFont="1" applyFill="1" applyBorder="1" applyAlignment="1" applyProtection="1">
      <alignment vertical="center"/>
    </xf>
    <xf numFmtId="168" fontId="2" fillId="0" borderId="347" xfId="21" applyNumberFormat="1" applyFont="1" applyFill="1" applyBorder="1" applyAlignment="1" applyProtection="1">
      <alignment horizontal="left" vertical="center"/>
    </xf>
    <xf numFmtId="168" fontId="2" fillId="0" borderId="15" xfId="21" applyNumberFormat="1" applyFont="1" applyFill="1" applyBorder="1" applyAlignment="1" applyProtection="1">
      <alignment horizontal="left" vertical="center"/>
    </xf>
    <xf numFmtId="0" fontId="2" fillId="0" borderId="0" xfId="70" applyFont="1" applyBorder="1" applyAlignment="1" applyProtection="1">
      <alignment vertical="center" wrapText="1"/>
    </xf>
    <xf numFmtId="0" fontId="103" fillId="0" borderId="57" xfId="21" applyFont="1" applyFill="1" applyBorder="1" applyAlignment="1" applyProtection="1">
      <alignment horizontal="center" vertical="center"/>
    </xf>
    <xf numFmtId="0" fontId="133" fillId="0" borderId="37" xfId="70" applyFont="1" applyFill="1" applyBorder="1" applyAlignment="1" applyProtection="1">
      <alignment horizontal="center" vertical="center"/>
    </xf>
    <xf numFmtId="0" fontId="133" fillId="0" borderId="38" xfId="70" applyFont="1" applyFill="1" applyBorder="1" applyAlignment="1" applyProtection="1">
      <alignment horizontal="center" vertical="center"/>
    </xf>
    <xf numFmtId="0" fontId="133" fillId="0" borderId="138" xfId="70" applyFont="1" applyFill="1" applyBorder="1" applyAlignment="1" applyProtection="1">
      <alignment horizontal="center" vertical="center"/>
    </xf>
    <xf numFmtId="0" fontId="133" fillId="0" borderId="100" xfId="70" applyFont="1" applyFill="1" applyBorder="1" applyAlignment="1" applyProtection="1">
      <alignment horizontal="center" vertical="center"/>
    </xf>
    <xf numFmtId="0" fontId="133" fillId="0" borderId="14" xfId="70" applyFont="1" applyFill="1" applyBorder="1" applyAlignment="1" applyProtection="1">
      <alignment horizontal="center" vertical="center"/>
    </xf>
    <xf numFmtId="0" fontId="133" fillId="0" borderId="105" xfId="70" applyFont="1" applyFill="1" applyBorder="1" applyAlignment="1" applyProtection="1">
      <alignment horizontal="center" vertical="center"/>
    </xf>
    <xf numFmtId="0" fontId="133" fillId="0" borderId="20" xfId="70" applyFont="1" applyFill="1" applyBorder="1" applyAlignment="1" applyProtection="1">
      <alignment horizontal="center" vertical="center"/>
    </xf>
    <xf numFmtId="0" fontId="133" fillId="0" borderId="16" xfId="70" applyFont="1" applyFill="1" applyBorder="1" applyAlignment="1" applyProtection="1">
      <alignment horizontal="center" vertical="center"/>
    </xf>
    <xf numFmtId="0" fontId="133" fillId="0" borderId="109" xfId="70" applyFont="1" applyFill="1" applyBorder="1" applyAlignment="1" applyProtection="1">
      <alignment horizontal="center" vertical="center"/>
    </xf>
    <xf numFmtId="0" fontId="47" fillId="0" borderId="58" xfId="68" applyFont="1" applyBorder="1" applyAlignment="1" applyProtection="1">
      <alignment horizontal="center" vertical="center" wrapText="1"/>
    </xf>
    <xf numFmtId="0" fontId="44" fillId="0" borderId="0" xfId="68" applyFont="1" applyBorder="1" applyAlignment="1" applyProtection="1">
      <alignment horizontal="center"/>
    </xf>
    <xf numFmtId="0" fontId="44" fillId="0" borderId="38" xfId="68" applyFont="1" applyBorder="1" applyAlignment="1" applyProtection="1">
      <alignment horizontal="center"/>
    </xf>
    <xf numFmtId="0" fontId="44" fillId="0" borderId="37" xfId="68" applyFont="1" applyBorder="1" applyAlignment="1" applyProtection="1">
      <alignment horizontal="center"/>
    </xf>
    <xf numFmtId="0" fontId="4" fillId="0" borderId="0" xfId="68" quotePrefix="1" applyFont="1" applyBorder="1" applyAlignment="1" applyProtection="1">
      <alignment horizontal="center"/>
      <protection locked="0"/>
    </xf>
    <xf numFmtId="0" fontId="4" fillId="0" borderId="38" xfId="68" applyFont="1" applyBorder="1" applyAlignment="1" applyProtection="1">
      <alignment horizontal="center"/>
      <protection locked="0"/>
    </xf>
    <xf numFmtId="0" fontId="4" fillId="0" borderId="37" xfId="68" quotePrefix="1" applyFont="1" applyBorder="1" applyAlignment="1" applyProtection="1">
      <alignment horizontal="center"/>
      <protection locked="0"/>
    </xf>
    <xf numFmtId="0" fontId="4" fillId="0" borderId="46" xfId="68" applyFont="1" applyBorder="1" applyAlignment="1" applyProtection="1">
      <alignment horizontal="center"/>
    </xf>
    <xf numFmtId="0" fontId="4" fillId="0" borderId="48" xfId="68" applyFont="1" applyBorder="1" applyAlignment="1" applyProtection="1">
      <alignment horizontal="center"/>
    </xf>
    <xf numFmtId="0" fontId="4" fillId="0" borderId="47" xfId="68" applyFont="1" applyBorder="1" applyAlignment="1" applyProtection="1">
      <alignment horizontal="center"/>
    </xf>
    <xf numFmtId="0" fontId="45" fillId="27" borderId="45" xfId="68" applyFont="1" applyFill="1" applyBorder="1" applyAlignment="1" applyProtection="1">
      <alignment horizontal="center" vertical="center"/>
    </xf>
    <xf numFmtId="0" fontId="45" fillId="27" borderId="46" xfId="68" applyFont="1" applyFill="1" applyBorder="1" applyAlignment="1" applyProtection="1">
      <alignment horizontal="center" vertical="center"/>
    </xf>
    <xf numFmtId="0" fontId="47" fillId="0" borderId="44" xfId="68" applyFont="1" applyBorder="1" applyAlignment="1" applyProtection="1">
      <alignment horizontal="center" vertical="center" wrapText="1"/>
    </xf>
    <xf numFmtId="0" fontId="4" fillId="27" borderId="45" xfId="68" applyFont="1" applyFill="1" applyBorder="1" applyAlignment="1" applyProtection="1">
      <alignment horizontal="center"/>
    </xf>
    <xf numFmtId="0" fontId="4" fillId="27" borderId="46" xfId="68" applyFont="1" applyFill="1" applyBorder="1" applyAlignment="1" applyProtection="1">
      <alignment horizontal="center"/>
    </xf>
    <xf numFmtId="0" fontId="4" fillId="27" borderId="91" xfId="68" applyFont="1" applyFill="1" applyBorder="1" applyAlignment="1" applyProtection="1">
      <alignment horizontal="center"/>
    </xf>
    <xf numFmtId="0" fontId="5" fillId="0" borderId="47" xfId="68" applyFont="1" applyBorder="1" applyAlignment="1" applyProtection="1">
      <alignment horizontal="left" vertical="center" indent="2"/>
    </xf>
    <xf numFmtId="0" fontId="5" fillId="0" borderId="91" xfId="68" applyFont="1" applyBorder="1" applyAlignment="1" applyProtection="1">
      <alignment horizontal="left" vertical="center" indent="2"/>
    </xf>
    <xf numFmtId="0" fontId="44" fillId="0" borderId="20" xfId="68" applyFont="1" applyBorder="1" applyAlignment="1" applyProtection="1">
      <alignment horizontal="center" vertical="center"/>
    </xf>
    <xf numFmtId="0" fontId="44" fillId="0" borderId="0" xfId="68" applyFont="1" applyBorder="1" applyAlignment="1" applyProtection="1">
      <alignment horizontal="center" vertical="center"/>
    </xf>
    <xf numFmtId="0" fontId="44" fillId="0" borderId="19" xfId="68" applyFont="1" applyBorder="1" applyAlignment="1" applyProtection="1">
      <alignment horizontal="center" vertical="center"/>
    </xf>
    <xf numFmtId="0" fontId="5" fillId="0" borderId="37" xfId="68" applyFont="1" applyBorder="1" applyAlignment="1" applyProtection="1">
      <alignment horizontal="left" vertical="center" indent="2"/>
    </xf>
    <xf numFmtId="0" fontId="5" fillId="0" borderId="19" xfId="68" applyFont="1" applyBorder="1" applyAlignment="1" applyProtection="1">
      <alignment horizontal="left" vertical="center" indent="2"/>
    </xf>
    <xf numFmtId="0" fontId="132" fillId="0" borderId="347" xfId="73" applyFont="1" applyBorder="1" applyAlignment="1" applyProtection="1">
      <alignment horizontal="left" vertical="top"/>
      <protection locked="0"/>
    </xf>
    <xf numFmtId="0" fontId="5" fillId="27" borderId="20" xfId="70" applyFont="1" applyFill="1" applyBorder="1" applyAlignment="1" applyProtection="1">
      <alignment horizontal="center" vertical="center"/>
    </xf>
    <xf numFmtId="0" fontId="5" fillId="27" borderId="0" xfId="70" applyFont="1" applyFill="1" applyBorder="1" applyAlignment="1" applyProtection="1">
      <alignment horizontal="center" vertical="center"/>
    </xf>
    <xf numFmtId="0" fontId="5" fillId="27" borderId="154" xfId="70" applyFont="1" applyFill="1" applyBorder="1" applyAlignment="1" applyProtection="1">
      <alignment horizontal="center" vertical="center"/>
    </xf>
    <xf numFmtId="0" fontId="5" fillId="27" borderId="40" xfId="70" applyFont="1" applyFill="1" applyBorder="1" applyAlignment="1" applyProtection="1">
      <alignment horizontal="center" vertical="center"/>
    </xf>
    <xf numFmtId="0" fontId="5" fillId="27" borderId="13" xfId="70" applyFont="1" applyFill="1" applyBorder="1" applyAlignment="1" applyProtection="1">
      <alignment horizontal="center" vertical="center"/>
    </xf>
    <xf numFmtId="0" fontId="49" fillId="25" borderId="37" xfId="217" applyFont="1" applyFill="1" applyBorder="1" applyAlignment="1" applyProtection="1">
      <alignment horizontal="center"/>
    </xf>
    <xf numFmtId="0" fontId="49" fillId="25" borderId="19" xfId="217" applyFont="1" applyFill="1" applyBorder="1" applyAlignment="1" applyProtection="1">
      <alignment horizontal="center"/>
    </xf>
    <xf numFmtId="0" fontId="5" fillId="27" borderId="99" xfId="74" applyFont="1" applyFill="1" applyBorder="1" applyAlignment="1" applyProtection="1">
      <alignment horizontal="left" vertical="top" wrapText="1"/>
    </xf>
    <xf numFmtId="0" fontId="5" fillId="27" borderId="35" xfId="74" applyFont="1" applyFill="1" applyBorder="1" applyAlignment="1" applyProtection="1">
      <alignment horizontal="left" vertical="top" wrapText="1"/>
    </xf>
    <xf numFmtId="0" fontId="4" fillId="27" borderId="35" xfId="74" applyFont="1" applyFill="1" applyBorder="1" applyAlignment="1" applyProtection="1">
      <alignment horizontal="left" vertical="top" wrapText="1"/>
      <protection locked="0"/>
    </xf>
    <xf numFmtId="0" fontId="4" fillId="27" borderId="137" xfId="74" applyFont="1" applyFill="1" applyBorder="1" applyAlignment="1" applyProtection="1">
      <alignment horizontal="left" vertical="top" wrapText="1"/>
      <protection locked="0"/>
    </xf>
    <xf numFmtId="0" fontId="5" fillId="29" borderId="20" xfId="70" applyFont="1" applyFill="1" applyBorder="1" applyAlignment="1" applyProtection="1">
      <alignment horizontal="center" vertical="center"/>
    </xf>
    <xf numFmtId="0" fontId="5" fillId="29" borderId="0" xfId="70" applyFont="1" applyFill="1" applyBorder="1" applyAlignment="1" applyProtection="1">
      <alignment horizontal="center" vertical="center"/>
    </xf>
    <xf numFmtId="0" fontId="5" fillId="29" borderId="19" xfId="70" applyFont="1" applyFill="1" applyBorder="1" applyAlignment="1" applyProtection="1">
      <alignment horizontal="center" vertical="center"/>
    </xf>
    <xf numFmtId="167" fontId="4" fillId="0" borderId="12" xfId="70" applyNumberFormat="1" applyFont="1" applyFill="1" applyBorder="1" applyAlignment="1" applyProtection="1">
      <alignment horizontal="center" vertical="center"/>
      <protection locked="0"/>
    </xf>
    <xf numFmtId="167" fontId="4" fillId="0" borderId="10" xfId="70" applyNumberFormat="1" applyFont="1" applyFill="1" applyBorder="1" applyAlignment="1" applyProtection="1">
      <alignment horizontal="center" vertical="center"/>
      <protection locked="0"/>
    </xf>
    <xf numFmtId="167" fontId="4" fillId="0" borderId="12" xfId="70" applyNumberFormat="1" applyFont="1" applyFill="1" applyBorder="1" applyAlignment="1" applyProtection="1">
      <alignment horizontal="center" vertical="center"/>
    </xf>
    <xf numFmtId="167" fontId="4" fillId="0" borderId="10" xfId="70" applyNumberFormat="1" applyFont="1" applyFill="1" applyBorder="1" applyAlignment="1" applyProtection="1">
      <alignment horizontal="center" vertical="center"/>
    </xf>
    <xf numFmtId="167" fontId="5" fillId="27" borderId="0" xfId="70" applyNumberFormat="1" applyFont="1" applyFill="1" applyBorder="1" applyAlignment="1" applyProtection="1">
      <alignment horizontal="center" vertical="center"/>
    </xf>
    <xf numFmtId="167" fontId="5" fillId="27" borderId="19" xfId="70" applyNumberFormat="1" applyFont="1" applyFill="1" applyBorder="1" applyAlignment="1" applyProtection="1">
      <alignment horizontal="center" vertical="center"/>
    </xf>
    <xf numFmtId="167" fontId="5" fillId="27" borderId="40" xfId="70" applyNumberFormat="1" applyFont="1" applyFill="1" applyBorder="1" applyAlignment="1" applyProtection="1">
      <alignment horizontal="center" vertical="center"/>
    </xf>
    <xf numFmtId="167" fontId="5" fillId="27" borderId="155" xfId="70" applyNumberFormat="1" applyFont="1" applyFill="1" applyBorder="1" applyAlignment="1" applyProtection="1">
      <alignment horizontal="center" vertical="center"/>
    </xf>
    <xf numFmtId="0" fontId="173" fillId="0" borderId="12" xfId="0" applyFont="1" applyBorder="1" applyAlignment="1">
      <alignment horizontal="center" vertical="center"/>
    </xf>
    <xf numFmtId="0" fontId="173" fillId="0" borderId="10" xfId="0" applyFont="1" applyBorder="1" applyAlignment="1">
      <alignment horizontal="center" vertical="center"/>
    </xf>
    <xf numFmtId="0" fontId="133" fillId="0" borderId="12" xfId="70" applyFont="1" applyFill="1" applyBorder="1" applyAlignment="1" applyProtection="1">
      <alignment horizontal="center" vertical="center"/>
    </xf>
    <xf numFmtId="0" fontId="133" fillId="0" borderId="10" xfId="70" applyFont="1" applyFill="1" applyBorder="1" applyAlignment="1" applyProtection="1">
      <alignment horizontal="center" vertical="center"/>
    </xf>
    <xf numFmtId="167" fontId="132" fillId="27" borderId="37" xfId="70" applyNumberFormat="1" applyFont="1" applyFill="1" applyBorder="1" applyAlignment="1" applyProtection="1">
      <alignment horizontal="center" vertical="center"/>
    </xf>
    <xf numFmtId="167" fontId="132" fillId="27" borderId="19" xfId="70" applyNumberFormat="1" applyFont="1" applyFill="1" applyBorder="1" applyAlignment="1" applyProtection="1">
      <alignment horizontal="center" vertical="center"/>
    </xf>
    <xf numFmtId="167" fontId="132" fillId="0" borderId="37" xfId="70" applyNumberFormat="1" applyFont="1" applyFill="1" applyBorder="1" applyAlignment="1" applyProtection="1">
      <alignment horizontal="center" vertical="center"/>
      <protection locked="0"/>
    </xf>
    <xf numFmtId="167" fontId="132" fillId="0" borderId="38" xfId="70" applyNumberFormat="1" applyFont="1" applyFill="1" applyBorder="1" applyAlignment="1" applyProtection="1">
      <alignment horizontal="center" vertical="center"/>
      <protection locked="0"/>
    </xf>
    <xf numFmtId="167" fontId="132" fillId="0" borderId="138" xfId="70" applyNumberFormat="1" applyFont="1" applyFill="1" applyBorder="1" applyAlignment="1" applyProtection="1">
      <alignment horizontal="center" vertical="center"/>
      <protection locked="0"/>
    </xf>
    <xf numFmtId="167" fontId="132" fillId="0" borderId="100" xfId="70" applyNumberFormat="1" applyFont="1" applyFill="1" applyBorder="1" applyAlignment="1" applyProtection="1">
      <alignment horizontal="center" vertical="center"/>
      <protection locked="0"/>
    </xf>
    <xf numFmtId="167" fontId="132" fillId="27" borderId="138" xfId="70" applyNumberFormat="1" applyFont="1" applyFill="1" applyBorder="1" applyAlignment="1" applyProtection="1">
      <alignment horizontal="center" vertical="center"/>
    </xf>
    <xf numFmtId="167" fontId="132" fillId="27" borderId="15" xfId="70" applyNumberFormat="1" applyFont="1" applyFill="1" applyBorder="1" applyAlignment="1" applyProtection="1">
      <alignment horizontal="center" vertical="center"/>
    </xf>
    <xf numFmtId="0" fontId="43" fillId="25" borderId="13" xfId="70" applyFont="1" applyFill="1" applyBorder="1" applyAlignment="1" applyProtection="1">
      <alignment horizontal="center" vertical="center" wrapText="1"/>
    </xf>
    <xf numFmtId="0" fontId="43" fillId="25" borderId="347" xfId="70" applyFont="1" applyFill="1" applyBorder="1" applyAlignment="1" applyProtection="1">
      <alignment horizontal="center" vertical="center" wrapText="1"/>
    </xf>
    <xf numFmtId="0" fontId="132" fillId="25" borderId="16" xfId="70" applyFont="1" applyFill="1" applyBorder="1" applyAlignment="1" applyProtection="1">
      <alignment horizontal="center" vertical="center"/>
    </xf>
    <xf numFmtId="0" fontId="132" fillId="25" borderId="15" xfId="70" applyFont="1" applyFill="1" applyBorder="1" applyAlignment="1" applyProtection="1">
      <alignment horizontal="center" vertical="center"/>
    </xf>
    <xf numFmtId="168" fontId="2" fillId="0" borderId="0" xfId="21" applyNumberFormat="1" applyFont="1" applyFill="1" applyBorder="1" applyAlignment="1" applyProtection="1">
      <alignment horizontal="left" vertical="center"/>
    </xf>
    <xf numFmtId="168" fontId="2" fillId="0" borderId="19" xfId="21" applyNumberFormat="1" applyFont="1" applyFill="1" applyBorder="1" applyAlignment="1" applyProtection="1">
      <alignment horizontal="left" vertical="center"/>
    </xf>
    <xf numFmtId="168" fontId="2" fillId="0" borderId="0" xfId="21" applyNumberFormat="1" applyFont="1" applyFill="1" applyBorder="1" applyAlignment="1" applyProtection="1">
      <alignment horizontal="left" vertical="center"/>
      <protection locked="0"/>
    </xf>
    <xf numFmtId="168" fontId="2" fillId="0" borderId="19" xfId="21" applyNumberFormat="1" applyFont="1" applyFill="1" applyBorder="1" applyAlignment="1" applyProtection="1">
      <alignment horizontal="left" vertical="center"/>
      <protection locked="0"/>
    </xf>
    <xf numFmtId="0" fontId="5" fillId="29" borderId="329" xfId="70" applyFont="1" applyFill="1" applyBorder="1" applyAlignment="1" applyProtection="1">
      <alignment horizontal="center" vertical="center"/>
    </xf>
    <xf numFmtId="0" fontId="5" fillId="29" borderId="92" xfId="70" applyFont="1" applyFill="1" applyBorder="1" applyAlignment="1" applyProtection="1">
      <alignment horizontal="center" vertical="center"/>
    </xf>
    <xf numFmtId="0" fontId="5" fillId="29" borderId="324" xfId="70" applyFont="1" applyFill="1" applyBorder="1" applyAlignment="1" applyProtection="1">
      <alignment horizontal="center" vertical="center"/>
    </xf>
    <xf numFmtId="0" fontId="5" fillId="25" borderId="14" xfId="70" applyFont="1" applyFill="1" applyBorder="1" applyAlignment="1" applyProtection="1">
      <alignment horizontal="center" vertical="center" wrapText="1"/>
    </xf>
    <xf numFmtId="0" fontId="5" fillId="25" borderId="13" xfId="70" applyFont="1" applyFill="1" applyBorder="1" applyAlignment="1" applyProtection="1">
      <alignment horizontal="center" vertical="center" wrapText="1"/>
    </xf>
    <xf numFmtId="0" fontId="5" fillId="25" borderId="18" xfId="70" applyFont="1" applyFill="1" applyBorder="1" applyAlignment="1" applyProtection="1">
      <alignment horizontal="center" vertical="center" wrapText="1"/>
    </xf>
    <xf numFmtId="0" fontId="132" fillId="25" borderId="347" xfId="70" applyFont="1" applyFill="1" applyBorder="1" applyAlignment="1" applyProtection="1">
      <alignment horizontal="center" vertical="center"/>
    </xf>
    <xf numFmtId="0" fontId="43" fillId="0" borderId="0" xfId="21" applyFont="1" applyFill="1" applyBorder="1" applyAlignment="1" applyProtection="1">
      <alignment vertical="center"/>
    </xf>
    <xf numFmtId="0" fontId="3" fillId="0" borderId="0" xfId="70" applyFont="1" applyFill="1" applyBorder="1" applyAlignment="1" applyProtection="1">
      <alignment horizontal="center"/>
    </xf>
    <xf numFmtId="0" fontId="4" fillId="0" borderId="30" xfId="71" applyFont="1" applyBorder="1" applyAlignment="1" applyProtection="1">
      <alignment horizontal="center" vertical="center"/>
    </xf>
    <xf numFmtId="0" fontId="4" fillId="0" borderId="63" xfId="71" applyFont="1" applyBorder="1" applyAlignment="1" applyProtection="1">
      <alignment horizontal="center" vertical="center"/>
    </xf>
    <xf numFmtId="0" fontId="4" fillId="0" borderId="64" xfId="71" applyFont="1" applyBorder="1" applyAlignment="1" applyProtection="1">
      <alignment horizontal="center" vertical="center"/>
    </xf>
    <xf numFmtId="0" fontId="182" fillId="25" borderId="12" xfId="545" applyFont="1" applyFill="1" applyBorder="1" applyAlignment="1" applyProtection="1">
      <alignment horizontal="center" vertical="center"/>
    </xf>
    <xf numFmtId="0" fontId="182" fillId="25" borderId="11" xfId="545" applyFont="1" applyFill="1" applyBorder="1" applyAlignment="1" applyProtection="1">
      <alignment horizontal="center" vertical="center"/>
    </xf>
    <xf numFmtId="0" fontId="182" fillId="25" borderId="10" xfId="545" applyFont="1" applyFill="1" applyBorder="1" applyAlignment="1" applyProtection="1">
      <alignment horizontal="center" vertical="center"/>
    </xf>
    <xf numFmtId="0" fontId="43" fillId="27" borderId="13" xfId="0" applyFont="1" applyFill="1" applyBorder="1" applyAlignment="1" applyProtection="1">
      <alignment horizontal="left" vertical="center"/>
    </xf>
    <xf numFmtId="0" fontId="43" fillId="27" borderId="13" xfId="0" applyFont="1" applyFill="1" applyBorder="1" applyAlignment="1" applyProtection="1">
      <alignment horizontal="left" vertical="center"/>
      <protection locked="0"/>
    </xf>
    <xf numFmtId="0" fontId="43" fillId="27" borderId="18" xfId="0" applyFont="1" applyFill="1" applyBorder="1" applyAlignment="1" applyProtection="1">
      <alignment horizontal="left" vertical="center"/>
      <protection locked="0"/>
    </xf>
    <xf numFmtId="168" fontId="2" fillId="27" borderId="40" xfId="71" applyNumberFormat="1" applyFont="1" applyFill="1" applyBorder="1" applyAlignment="1" applyProtection="1">
      <alignment horizontal="left" vertical="center" wrapText="1"/>
    </xf>
    <xf numFmtId="168" fontId="2" fillId="27" borderId="155" xfId="71" applyNumberFormat="1" applyFont="1" applyFill="1" applyBorder="1" applyAlignment="1" applyProtection="1">
      <alignment horizontal="left" vertical="center" wrapText="1"/>
    </xf>
    <xf numFmtId="0" fontId="43" fillId="27" borderId="40" xfId="71" applyFont="1" applyFill="1" applyBorder="1" applyAlignment="1" applyProtection="1">
      <alignment horizontal="left" vertical="center" wrapText="1"/>
    </xf>
    <xf numFmtId="0" fontId="132" fillId="0" borderId="20" xfId="223" applyFont="1" applyBorder="1" applyAlignment="1" applyProtection="1">
      <alignment horizontal="center"/>
      <protection locked="0"/>
    </xf>
    <xf numFmtId="0" fontId="132" fillId="0" borderId="0" xfId="223" applyFont="1" applyBorder="1" applyAlignment="1" applyProtection="1">
      <alignment horizontal="center"/>
      <protection locked="0"/>
    </xf>
    <xf numFmtId="0" fontId="132" fillId="0" borderId="19" xfId="223" applyFont="1" applyBorder="1" applyAlignment="1" applyProtection="1">
      <alignment horizontal="center"/>
      <protection locked="0"/>
    </xf>
    <xf numFmtId="0" fontId="127" fillId="27" borderId="20" xfId="545" applyFont="1" applyFill="1" applyBorder="1" applyAlignment="1" applyProtection="1">
      <alignment vertical="center"/>
    </xf>
    <xf numFmtId="0" fontId="127" fillId="27" borderId="0" xfId="545" applyFont="1" applyFill="1" applyBorder="1" applyAlignment="1" applyProtection="1">
      <alignment vertical="center"/>
    </xf>
    <xf numFmtId="0" fontId="127" fillId="27" borderId="14" xfId="545" applyFont="1" applyFill="1" applyBorder="1" applyAlignment="1" applyProtection="1">
      <alignment horizontal="center" vertical="center" wrapText="1"/>
      <protection locked="0"/>
    </xf>
    <xf numFmtId="0" fontId="127" fillId="27" borderId="18" xfId="545" applyFont="1" applyFill="1" applyBorder="1" applyAlignment="1" applyProtection="1">
      <alignment horizontal="center" vertical="center" wrapText="1"/>
      <protection locked="0"/>
    </xf>
    <xf numFmtId="0" fontId="127" fillId="27" borderId="20" xfId="545" applyFont="1" applyFill="1" applyBorder="1" applyAlignment="1" applyProtection="1">
      <alignment horizontal="center" vertical="center" wrapText="1"/>
      <protection locked="0"/>
    </xf>
    <xf numFmtId="0" fontId="127" fillId="27" borderId="19" xfId="545" applyFont="1" applyFill="1" applyBorder="1" applyAlignment="1" applyProtection="1">
      <alignment horizontal="center" vertical="center" wrapText="1"/>
      <protection locked="0"/>
    </xf>
    <xf numFmtId="0" fontId="127" fillId="36" borderId="20" xfId="545" applyFont="1" applyFill="1" applyBorder="1" applyAlignment="1" applyProtection="1">
      <alignment horizontal="left" vertical="center"/>
    </xf>
    <xf numFmtId="0" fontId="127" fillId="36" borderId="0" xfId="545" applyFont="1" applyFill="1" applyBorder="1" applyAlignment="1" applyProtection="1">
      <alignment horizontal="left" vertical="center"/>
    </xf>
    <xf numFmtId="167" fontId="127" fillId="36" borderId="350" xfId="545" quotePrefix="1" applyNumberFormat="1" applyFont="1" applyFill="1" applyBorder="1" applyAlignment="1" applyProtection="1">
      <alignment horizontal="center" vertical="center"/>
      <protection locked="0"/>
    </xf>
    <xf numFmtId="167" fontId="127" fillId="36" borderId="19" xfId="545" quotePrefix="1" applyNumberFormat="1" applyFont="1" applyFill="1" applyBorder="1" applyAlignment="1" applyProtection="1">
      <alignment horizontal="center" vertical="center"/>
      <protection locked="0"/>
    </xf>
    <xf numFmtId="0" fontId="127" fillId="36" borderId="20" xfId="545" applyFont="1" applyFill="1" applyBorder="1" applyAlignment="1" applyProtection="1">
      <alignment horizontal="left" vertical="center" wrapText="1"/>
    </xf>
    <xf numFmtId="0" fontId="127" fillId="36" borderId="0" xfId="545" applyFont="1" applyFill="1" applyBorder="1" applyAlignment="1" applyProtection="1">
      <alignment horizontal="left" vertical="center" wrapText="1"/>
    </xf>
    <xf numFmtId="0" fontId="127" fillId="36" borderId="16" xfId="545" applyFont="1" applyFill="1" applyBorder="1" applyAlignment="1" applyProtection="1">
      <alignment horizontal="left" vertical="center" wrapText="1"/>
    </xf>
    <xf numFmtId="0" fontId="127" fillId="36" borderId="347" xfId="545" applyFont="1" applyFill="1" applyBorder="1" applyAlignment="1" applyProtection="1">
      <alignment horizontal="left" vertical="center" wrapText="1"/>
    </xf>
    <xf numFmtId="1" fontId="182" fillId="36" borderId="16" xfId="545" applyNumberFormat="1" applyFont="1" applyFill="1" applyBorder="1" applyAlignment="1" applyProtection="1">
      <alignment horizontal="center" vertical="center"/>
    </xf>
    <xf numFmtId="1" fontId="182" fillId="36" borderId="15" xfId="545" applyNumberFormat="1" applyFont="1" applyFill="1" applyBorder="1" applyAlignment="1" applyProtection="1">
      <alignment horizontal="center" vertical="center"/>
    </xf>
    <xf numFmtId="0" fontId="4" fillId="27" borderId="35" xfId="71" applyFont="1" applyFill="1" applyBorder="1" applyAlignment="1" applyProtection="1">
      <alignment horizontal="center" vertical="top" wrapText="1"/>
      <protection locked="0"/>
    </xf>
    <xf numFmtId="0" fontId="4" fillId="27" borderId="137" xfId="71" applyFont="1" applyFill="1" applyBorder="1" applyAlignment="1" applyProtection="1">
      <alignment horizontal="center" vertical="top" wrapText="1"/>
      <protection locked="0"/>
    </xf>
    <xf numFmtId="0" fontId="5" fillId="25" borderId="102" xfId="68" applyFont="1" applyFill="1" applyBorder="1" applyAlignment="1" applyProtection="1">
      <alignment horizontal="center" vertical="center"/>
    </xf>
    <xf numFmtId="0" fontId="5" fillId="25" borderId="11" xfId="68" applyFont="1" applyFill="1" applyBorder="1" applyAlignment="1" applyProtection="1">
      <alignment horizontal="center" vertical="center"/>
    </xf>
    <xf numFmtId="0" fontId="5" fillId="25" borderId="101" xfId="68" applyFont="1" applyFill="1" applyBorder="1" applyAlignment="1" applyProtection="1">
      <alignment horizontal="center" vertical="center"/>
    </xf>
    <xf numFmtId="0" fontId="5" fillId="25" borderId="10" xfId="68" applyFont="1" applyFill="1" applyBorder="1" applyAlignment="1" applyProtection="1">
      <alignment horizontal="center" vertical="center"/>
    </xf>
    <xf numFmtId="0" fontId="4" fillId="0" borderId="109" xfId="68" applyFont="1" applyBorder="1" applyAlignment="1" applyProtection="1"/>
    <xf numFmtId="0" fontId="4" fillId="0" borderId="13" xfId="68" applyFont="1" applyBorder="1" applyAlignment="1" applyProtection="1"/>
    <xf numFmtId="0" fontId="4" fillId="0" borderId="105" xfId="68" applyFont="1" applyBorder="1" applyAlignment="1" applyProtection="1"/>
    <xf numFmtId="0" fontId="95" fillId="0" borderId="37" xfId="68" applyFont="1" applyBorder="1" applyAlignment="1" applyProtection="1"/>
    <xf numFmtId="0" fontId="95" fillId="0" borderId="0" xfId="68" applyFont="1" applyBorder="1" applyAlignment="1" applyProtection="1"/>
    <xf numFmtId="0" fontId="95" fillId="0" borderId="38" xfId="68" applyFont="1" applyBorder="1" applyAlignment="1" applyProtection="1"/>
    <xf numFmtId="0" fontId="95" fillId="0" borderId="19" xfId="68" applyFont="1" applyBorder="1" applyAlignment="1" applyProtection="1"/>
    <xf numFmtId="0" fontId="184" fillId="25" borderId="158" xfId="68" applyFont="1" applyFill="1" applyBorder="1" applyAlignment="1" applyProtection="1">
      <alignment horizontal="center" vertical="center"/>
    </xf>
    <xf numFmtId="0" fontId="4" fillId="0" borderId="47" xfId="68" applyFont="1" applyBorder="1" applyAlignment="1" applyProtection="1">
      <alignment horizontal="center"/>
      <protection locked="0"/>
    </xf>
    <xf numFmtId="0" fontId="4" fillId="0" borderId="46" xfId="68" applyFont="1" applyBorder="1" applyAlignment="1" applyProtection="1">
      <alignment horizontal="center"/>
      <protection locked="0"/>
    </xf>
    <xf numFmtId="0" fontId="4" fillId="0" borderId="48" xfId="68" applyFont="1" applyBorder="1" applyAlignment="1" applyProtection="1">
      <alignment horizontal="center"/>
      <protection locked="0"/>
    </xf>
    <xf numFmtId="0" fontId="4" fillId="0" borderId="91" xfId="68" applyFont="1" applyBorder="1" applyAlignment="1" applyProtection="1">
      <alignment horizontal="center"/>
      <protection locked="0"/>
    </xf>
    <xf numFmtId="168" fontId="2" fillId="27" borderId="0" xfId="208" applyNumberFormat="1" applyFont="1" applyFill="1" applyBorder="1" applyAlignment="1" applyProtection="1">
      <alignment horizontal="left" vertical="top"/>
      <protection locked="0"/>
    </xf>
    <xf numFmtId="168" fontId="2" fillId="27" borderId="19" xfId="208" applyNumberFormat="1" applyFont="1" applyFill="1" applyBorder="1" applyAlignment="1" applyProtection="1">
      <alignment horizontal="left" vertical="top"/>
      <protection locked="0"/>
    </xf>
    <xf numFmtId="0" fontId="43" fillId="27" borderId="20" xfId="208" applyFont="1" applyFill="1" applyBorder="1" applyAlignment="1" applyProtection="1">
      <alignment horizontal="left" vertical="center"/>
    </xf>
    <xf numFmtId="0" fontId="43" fillId="27" borderId="0" xfId="208" applyFont="1" applyFill="1" applyBorder="1" applyAlignment="1" applyProtection="1">
      <alignment horizontal="left" vertical="center"/>
    </xf>
    <xf numFmtId="0" fontId="2" fillId="27" borderId="0" xfId="208" applyFont="1" applyFill="1" applyBorder="1" applyAlignment="1" applyProtection="1">
      <alignment horizontal="left" vertical="top"/>
    </xf>
    <xf numFmtId="0" fontId="140" fillId="0" borderId="12" xfId="21" applyFont="1" applyFill="1" applyBorder="1" applyAlignment="1" applyProtection="1">
      <alignment horizontal="left" vertical="center"/>
    </xf>
    <xf numFmtId="0" fontId="140" fillId="0" borderId="11" xfId="21" applyFont="1" applyFill="1" applyBorder="1" applyAlignment="1" applyProtection="1">
      <alignment horizontal="left" vertical="center"/>
    </xf>
    <xf numFmtId="0" fontId="140" fillId="0" borderId="10" xfId="21" applyFont="1" applyFill="1" applyBorder="1" applyAlignment="1" applyProtection="1">
      <alignment horizontal="left" vertical="center"/>
    </xf>
    <xf numFmtId="0" fontId="3" fillId="2" borderId="14" xfId="546" applyFont="1" applyFill="1" applyBorder="1" applyAlignment="1" applyProtection="1">
      <alignment horizontal="center" vertical="center"/>
    </xf>
    <xf numFmtId="0" fontId="3" fillId="2" borderId="13" xfId="546" applyFont="1" applyFill="1" applyBorder="1" applyAlignment="1" applyProtection="1">
      <alignment horizontal="center" vertical="center"/>
    </xf>
    <xf numFmtId="0" fontId="3" fillId="2" borderId="18" xfId="546" applyFont="1" applyFill="1" applyBorder="1" applyAlignment="1" applyProtection="1">
      <alignment horizontal="center" vertical="center"/>
    </xf>
    <xf numFmtId="0" fontId="3" fillId="2" borderId="20" xfId="546" applyFont="1" applyFill="1" applyBorder="1" applyAlignment="1" applyProtection="1">
      <alignment horizontal="center" vertical="center" wrapText="1"/>
    </xf>
    <xf numFmtId="0" fontId="3" fillId="2" borderId="0" xfId="546" applyFont="1" applyFill="1" applyBorder="1" applyAlignment="1" applyProtection="1">
      <alignment horizontal="center" vertical="center" wrapText="1"/>
    </xf>
    <xf numFmtId="0" fontId="3" fillId="2" borderId="19" xfId="546" applyFont="1" applyFill="1" applyBorder="1" applyAlignment="1" applyProtection="1">
      <alignment horizontal="center" vertical="center" wrapText="1"/>
    </xf>
    <xf numFmtId="0" fontId="3" fillId="2" borderId="16" xfId="546" applyFont="1" applyFill="1" applyBorder="1" applyAlignment="1" applyProtection="1">
      <alignment horizontal="center" vertical="center"/>
    </xf>
    <xf numFmtId="0" fontId="3" fillId="2" borderId="347" xfId="546" applyFont="1" applyFill="1" applyBorder="1" applyAlignment="1" applyProtection="1">
      <alignment horizontal="center" vertical="center"/>
    </xf>
    <xf numFmtId="0" fontId="3" fillId="2" borderId="15" xfId="546" applyFont="1" applyFill="1" applyBorder="1" applyAlignment="1" applyProtection="1">
      <alignment horizontal="center" vertical="center"/>
    </xf>
    <xf numFmtId="0" fontId="140" fillId="0" borderId="12" xfId="21" applyFont="1" applyFill="1" applyBorder="1" applyAlignment="1" applyProtection="1">
      <alignment horizontal="left" vertical="center" wrapText="1"/>
    </xf>
    <xf numFmtId="0" fontId="140" fillId="0" borderId="11" xfId="21" applyFont="1" applyFill="1" applyBorder="1" applyAlignment="1" applyProtection="1">
      <alignment horizontal="left" vertical="center" wrapText="1"/>
    </xf>
    <xf numFmtId="0" fontId="43" fillId="27" borderId="14" xfId="208" applyFont="1" applyFill="1" applyBorder="1" applyAlignment="1" applyProtection="1">
      <alignment horizontal="left" vertical="center"/>
    </xf>
    <xf numFmtId="0" fontId="43" fillId="27" borderId="13" xfId="208" applyFont="1" applyFill="1" applyBorder="1" applyAlignment="1" applyProtection="1">
      <alignment horizontal="left" vertical="center"/>
    </xf>
    <xf numFmtId="0" fontId="2" fillId="27" borderId="13" xfId="208" applyFont="1" applyFill="1" applyBorder="1" applyAlignment="1" applyProtection="1">
      <alignment horizontal="left" vertical="center"/>
    </xf>
    <xf numFmtId="0" fontId="43" fillId="27" borderId="0" xfId="208" applyFont="1" applyFill="1" applyBorder="1" applyAlignment="1" applyProtection="1">
      <alignment horizontal="left" vertical="top"/>
    </xf>
    <xf numFmtId="168" fontId="2" fillId="27" borderId="0" xfId="208" applyNumberFormat="1" applyFont="1" applyFill="1" applyBorder="1" applyAlignment="1" applyProtection="1">
      <alignment horizontal="left" vertical="top"/>
    </xf>
    <xf numFmtId="168" fontId="2" fillId="27" borderId="19" xfId="208" applyNumberFormat="1" applyFont="1" applyFill="1" applyBorder="1" applyAlignment="1" applyProtection="1">
      <alignment horizontal="left" vertical="top"/>
    </xf>
    <xf numFmtId="0" fontId="43" fillId="27" borderId="16" xfId="208" applyFont="1" applyFill="1" applyBorder="1" applyAlignment="1" applyProtection="1">
      <alignment horizontal="left" vertical="center"/>
    </xf>
    <xf numFmtId="0" fontId="43" fillId="27" borderId="347" xfId="208" applyFont="1" applyFill="1" applyBorder="1" applyAlignment="1" applyProtection="1">
      <alignment horizontal="left" vertical="center"/>
    </xf>
    <xf numFmtId="0" fontId="2" fillId="27" borderId="347" xfId="208" applyFont="1" applyFill="1" applyBorder="1" applyAlignment="1" applyProtection="1">
      <alignment horizontal="left" vertical="center"/>
    </xf>
    <xf numFmtId="0" fontId="43" fillId="0" borderId="347" xfId="208" applyFont="1" applyBorder="1" applyAlignment="1" applyProtection="1">
      <alignment horizontal="left" vertical="center"/>
    </xf>
    <xf numFmtId="168" fontId="2" fillId="27" borderId="347" xfId="208" applyNumberFormat="1" applyFont="1" applyFill="1" applyBorder="1" applyAlignment="1" applyProtection="1">
      <alignment horizontal="left" vertical="top"/>
    </xf>
    <xf numFmtId="168" fontId="2" fillId="27" borderId="15" xfId="208" applyNumberFormat="1" applyFont="1" applyFill="1" applyBorder="1" applyAlignment="1" applyProtection="1">
      <alignment horizontal="left" vertical="top"/>
    </xf>
    <xf numFmtId="0" fontId="4" fillId="0" borderId="20" xfId="546" applyFont="1" applyBorder="1" applyAlignment="1" applyProtection="1">
      <alignment horizontal="left"/>
    </xf>
    <xf numFmtId="0" fontId="4" fillId="0" borderId="0" xfId="546" applyFont="1" applyBorder="1" applyAlignment="1" applyProtection="1">
      <alignment horizontal="left"/>
    </xf>
    <xf numFmtId="167" fontId="4" fillId="0" borderId="0" xfId="546" applyNumberFormat="1" applyFont="1" applyBorder="1" applyAlignment="1" applyProtection="1">
      <alignment horizontal="center"/>
      <protection locked="0"/>
    </xf>
    <xf numFmtId="167" fontId="4" fillId="0" borderId="53" xfId="546" applyNumberFormat="1" applyFont="1" applyBorder="1" applyAlignment="1" applyProtection="1">
      <alignment horizontal="center"/>
      <protection locked="0"/>
    </xf>
    <xf numFmtId="0" fontId="4" fillId="0" borderId="0" xfId="546" applyFont="1" applyBorder="1" applyAlignment="1" applyProtection="1">
      <alignment vertical="center"/>
    </xf>
    <xf numFmtId="2" fontId="3" fillId="0" borderId="95" xfId="546" applyNumberFormat="1" applyFont="1" applyBorder="1" applyAlignment="1" applyProtection="1">
      <alignment horizontal="center" vertical="center"/>
      <protection locked="0"/>
    </xf>
    <xf numFmtId="2" fontId="3" fillId="0" borderId="66" xfId="546" applyNumberFormat="1" applyFont="1" applyBorder="1" applyAlignment="1" applyProtection="1">
      <alignment horizontal="center" vertical="center"/>
      <protection locked="0"/>
    </xf>
    <xf numFmtId="2" fontId="3" fillId="0" borderId="96" xfId="546" applyNumberFormat="1" applyFont="1" applyBorder="1" applyAlignment="1" applyProtection="1">
      <alignment horizontal="center" vertical="center"/>
      <protection locked="0"/>
    </xf>
    <xf numFmtId="2" fontId="3" fillId="0" borderId="97" xfId="546" applyNumberFormat="1" applyFont="1" applyBorder="1" applyAlignment="1" applyProtection="1">
      <alignment horizontal="center" vertical="center"/>
      <protection locked="0"/>
    </xf>
    <xf numFmtId="2" fontId="3" fillId="0" borderId="53" xfId="546" applyNumberFormat="1" applyFont="1" applyBorder="1" applyAlignment="1" applyProtection="1">
      <alignment horizontal="center" vertical="center"/>
      <protection locked="0"/>
    </xf>
    <xf numFmtId="2" fontId="3" fillId="0" borderId="98" xfId="546" applyNumberFormat="1" applyFont="1" applyBorder="1" applyAlignment="1" applyProtection="1">
      <alignment horizontal="center" vertical="center"/>
      <protection locked="0"/>
    </xf>
    <xf numFmtId="0" fontId="5" fillId="25" borderId="12" xfId="546" applyFont="1" applyFill="1" applyBorder="1" applyAlignment="1" applyProtection="1">
      <alignment horizontal="center" vertical="center"/>
    </xf>
    <xf numFmtId="0" fontId="5" fillId="25" borderId="11" xfId="546" applyFont="1" applyFill="1" applyBorder="1" applyAlignment="1" applyProtection="1">
      <alignment horizontal="center" vertical="center"/>
    </xf>
    <xf numFmtId="0" fontId="5" fillId="25" borderId="10" xfId="546" applyFont="1" applyFill="1" applyBorder="1" applyAlignment="1" applyProtection="1">
      <alignment horizontal="center" vertical="center"/>
    </xf>
    <xf numFmtId="0" fontId="4" fillId="0" borderId="0" xfId="546" applyFont="1" applyBorder="1" applyAlignment="1" applyProtection="1">
      <alignment horizontal="right" vertical="center" wrapText="1"/>
    </xf>
    <xf numFmtId="2" fontId="3" fillId="0" borderId="95" xfId="546" applyNumberFormat="1" applyFont="1" applyBorder="1" applyAlignment="1" applyProtection="1">
      <alignment horizontal="center" vertical="center"/>
    </xf>
    <xf numFmtId="2" fontId="3" fillId="0" borderId="66" xfId="546" applyNumberFormat="1" applyFont="1" applyBorder="1" applyAlignment="1" applyProtection="1">
      <alignment horizontal="center" vertical="center"/>
    </xf>
    <xf numFmtId="2" fontId="3" fillId="0" borderId="96" xfId="546" applyNumberFormat="1" applyFont="1" applyBorder="1" applyAlignment="1" applyProtection="1">
      <alignment horizontal="center" vertical="center"/>
    </xf>
    <xf numFmtId="2" fontId="3" fillId="0" borderId="97" xfId="546" applyNumberFormat="1" applyFont="1" applyBorder="1" applyAlignment="1" applyProtection="1">
      <alignment horizontal="center" vertical="center"/>
    </xf>
    <xf numFmtId="2" fontId="3" fillId="0" borderId="53" xfId="546" applyNumberFormat="1" applyFont="1" applyBorder="1" applyAlignment="1" applyProtection="1">
      <alignment horizontal="center" vertical="center"/>
    </xf>
    <xf numFmtId="2" fontId="3" fillId="0" borderId="98" xfId="546" applyNumberFormat="1" applyFont="1" applyBorder="1" applyAlignment="1" applyProtection="1">
      <alignment horizontal="center" vertical="center"/>
    </xf>
    <xf numFmtId="2" fontId="1" fillId="0" borderId="66" xfId="546" applyNumberFormat="1" applyBorder="1" applyProtection="1">
      <protection locked="0"/>
    </xf>
    <xf numFmtId="2" fontId="1" fillId="0" borderId="96" xfId="546" applyNumberFormat="1" applyBorder="1" applyProtection="1">
      <protection locked="0"/>
    </xf>
    <xf numFmtId="2" fontId="1" fillId="0" borderId="97" xfId="546" applyNumberFormat="1" applyBorder="1" applyProtection="1">
      <protection locked="0"/>
    </xf>
    <xf numFmtId="2" fontId="1" fillId="0" borderId="53" xfId="546" applyNumberFormat="1" applyBorder="1" applyProtection="1">
      <protection locked="0"/>
    </xf>
    <xf numFmtId="2" fontId="1" fillId="0" borderId="98" xfId="546" applyNumberFormat="1" applyBorder="1" applyProtection="1">
      <protection locked="0"/>
    </xf>
    <xf numFmtId="2" fontId="3" fillId="0" borderId="0" xfId="546" applyNumberFormat="1" applyFont="1" applyFill="1" applyBorder="1" applyAlignment="1" applyProtection="1">
      <alignment horizontal="center" vertical="center"/>
    </xf>
    <xf numFmtId="0" fontId="3" fillId="27" borderId="14" xfId="71" applyFont="1" applyFill="1" applyBorder="1" applyAlignment="1" applyProtection="1">
      <alignment horizontal="center" vertical="top" wrapText="1"/>
    </xf>
    <xf numFmtId="0" fontId="3" fillId="27" borderId="13" xfId="71" applyFont="1" applyFill="1" applyBorder="1" applyAlignment="1" applyProtection="1">
      <alignment horizontal="center" vertical="top" wrapText="1"/>
    </xf>
    <xf numFmtId="0" fontId="3" fillId="27" borderId="13" xfId="71" applyFont="1" applyFill="1" applyBorder="1" applyAlignment="1" applyProtection="1">
      <alignment horizontal="center" vertical="top" wrapText="1"/>
      <protection locked="0"/>
    </xf>
    <xf numFmtId="0" fontId="3" fillId="27" borderId="18" xfId="71" applyFont="1" applyFill="1" applyBorder="1" applyAlignment="1" applyProtection="1">
      <alignment horizontal="center" vertical="top" wrapText="1"/>
      <protection locked="0"/>
    </xf>
    <xf numFmtId="1" fontId="3" fillId="0" borderId="95" xfId="546" applyNumberFormat="1" applyFont="1" applyBorder="1" applyAlignment="1" applyProtection="1">
      <alignment horizontal="center" vertical="center"/>
      <protection locked="0"/>
    </xf>
    <xf numFmtId="1" fontId="3" fillId="0" borderId="66" xfId="546" applyNumberFormat="1" applyFont="1" applyBorder="1" applyAlignment="1" applyProtection="1">
      <alignment horizontal="center" vertical="center"/>
      <protection locked="0"/>
    </xf>
    <xf numFmtId="1" fontId="3" fillId="0" borderId="96" xfId="546" applyNumberFormat="1" applyFont="1" applyBorder="1" applyAlignment="1" applyProtection="1">
      <alignment horizontal="center" vertical="center"/>
      <protection locked="0"/>
    </xf>
    <xf numFmtId="1" fontId="3" fillId="0" borderId="97" xfId="546" applyNumberFormat="1" applyFont="1" applyBorder="1" applyAlignment="1" applyProtection="1">
      <alignment horizontal="center" vertical="center"/>
      <protection locked="0"/>
    </xf>
    <xf numFmtId="1" fontId="3" fillId="0" borderId="53" xfId="546" applyNumberFormat="1" applyFont="1" applyBorder="1" applyAlignment="1" applyProtection="1">
      <alignment horizontal="center" vertical="center"/>
      <protection locked="0"/>
    </xf>
    <xf numFmtId="1" fontId="3" fillId="0" borderId="98" xfId="546" applyNumberFormat="1" applyFont="1" applyBorder="1" applyAlignment="1" applyProtection="1">
      <alignment horizontal="center" vertical="center"/>
      <protection locked="0"/>
    </xf>
    <xf numFmtId="0" fontId="4" fillId="0" borderId="0" xfId="546" applyFont="1" applyBorder="1" applyAlignment="1" applyProtection="1">
      <alignment horizontal="right" vertical="center" wrapText="1" shrinkToFit="1"/>
    </xf>
    <xf numFmtId="167" fontId="3" fillId="0" borderId="95" xfId="546" applyNumberFormat="1" applyFont="1" applyBorder="1" applyAlignment="1" applyProtection="1">
      <alignment horizontal="center" vertical="center"/>
      <protection locked="0"/>
    </xf>
    <xf numFmtId="167" fontId="3" fillId="0" borderId="66" xfId="546" applyNumberFormat="1" applyFont="1" applyBorder="1" applyAlignment="1" applyProtection="1">
      <alignment horizontal="center" vertical="center"/>
      <protection locked="0"/>
    </xf>
    <xf numFmtId="167" fontId="3" fillId="0" borderId="96" xfId="546" applyNumberFormat="1" applyFont="1" applyBorder="1" applyAlignment="1" applyProtection="1">
      <alignment horizontal="center" vertical="center"/>
      <protection locked="0"/>
    </xf>
    <xf numFmtId="167" fontId="3" fillId="0" borderId="97" xfId="546" applyNumberFormat="1" applyFont="1" applyBorder="1" applyAlignment="1" applyProtection="1">
      <alignment horizontal="center" vertical="center"/>
      <protection locked="0"/>
    </xf>
    <xf numFmtId="167" fontId="3" fillId="0" borderId="53" xfId="546" applyNumberFormat="1" applyFont="1" applyBorder="1" applyAlignment="1" applyProtection="1">
      <alignment horizontal="center" vertical="center"/>
      <protection locked="0"/>
    </xf>
    <xf numFmtId="167" fontId="3" fillId="0" borderId="98" xfId="546" applyNumberFormat="1" applyFont="1" applyBorder="1" applyAlignment="1" applyProtection="1">
      <alignment horizontal="center" vertical="center"/>
      <protection locked="0"/>
    </xf>
    <xf numFmtId="0" fontId="49" fillId="0" borderId="20" xfId="211" applyFont="1" applyBorder="1" applyAlignment="1" applyProtection="1">
      <alignment horizontal="center"/>
      <protection locked="0"/>
    </xf>
    <xf numFmtId="0" fontId="49" fillId="0" borderId="0" xfId="211" applyFont="1" applyBorder="1" applyAlignment="1" applyProtection="1">
      <alignment horizontal="center"/>
      <protection locked="0"/>
    </xf>
    <xf numFmtId="0" fontId="49" fillId="0" borderId="19" xfId="211" applyFont="1" applyBorder="1" applyAlignment="1" applyProtection="1">
      <alignment horizontal="center"/>
      <protection locked="0"/>
    </xf>
    <xf numFmtId="0" fontId="1" fillId="29" borderId="34" xfId="71" applyFont="1" applyFill="1" applyBorder="1" applyAlignment="1" applyProtection="1">
      <alignment vertical="center"/>
    </xf>
    <xf numFmtId="0" fontId="1" fillId="29" borderId="35" xfId="71" applyFont="1" applyFill="1" applyBorder="1" applyAlignment="1" applyProtection="1">
      <alignment vertical="center"/>
    </xf>
    <xf numFmtId="0" fontId="5" fillId="29" borderId="34" xfId="68" applyFont="1" applyFill="1" applyBorder="1" applyAlignment="1" applyProtection="1">
      <alignment horizontal="center" vertical="center"/>
    </xf>
    <xf numFmtId="0" fontId="5" fillId="29" borderId="35" xfId="68" applyFont="1" applyFill="1" applyBorder="1" applyAlignment="1" applyProtection="1">
      <alignment horizontal="center" vertical="center"/>
    </xf>
    <xf numFmtId="0" fontId="5" fillId="29" borderId="36" xfId="68" applyFont="1" applyFill="1" applyBorder="1" applyAlignment="1" applyProtection="1">
      <alignment horizontal="center" vertical="center"/>
    </xf>
    <xf numFmtId="0" fontId="5" fillId="0" borderId="37" xfId="71" applyFont="1" applyFill="1" applyBorder="1" applyAlignment="1" applyProtection="1"/>
    <xf numFmtId="0" fontId="5" fillId="0" borderId="0" xfId="71" applyFont="1" applyFill="1" applyBorder="1" applyAlignment="1" applyProtection="1"/>
    <xf numFmtId="0" fontId="5" fillId="0" borderId="38" xfId="71" applyFont="1" applyFill="1" applyBorder="1" applyAlignment="1" applyProtection="1"/>
    <xf numFmtId="0" fontId="1" fillId="0" borderId="37" xfId="71" applyFont="1" applyFill="1" applyBorder="1" applyAlignment="1" applyProtection="1">
      <alignment vertical="center"/>
      <protection locked="0"/>
    </xf>
    <xf numFmtId="0" fontId="1" fillId="0" borderId="0" xfId="71" applyFont="1" applyFill="1" applyBorder="1" applyAlignment="1" applyProtection="1">
      <alignment vertical="center"/>
      <protection locked="0"/>
    </xf>
    <xf numFmtId="0" fontId="1" fillId="0" borderId="38" xfId="71" applyFont="1" applyFill="1" applyBorder="1" applyAlignment="1" applyProtection="1">
      <alignment vertical="center"/>
      <protection locked="0"/>
    </xf>
    <xf numFmtId="0" fontId="3" fillId="27" borderId="0" xfId="68" applyFont="1" applyFill="1" applyBorder="1" applyAlignment="1" applyProtection="1">
      <alignment vertical="center"/>
      <protection locked="0"/>
    </xf>
    <xf numFmtId="0" fontId="3" fillId="27" borderId="37" xfId="68" applyFont="1" applyFill="1" applyBorder="1" applyAlignment="1" applyProtection="1">
      <alignment vertical="center"/>
      <protection locked="0"/>
    </xf>
    <xf numFmtId="0" fontId="3" fillId="27" borderId="38" xfId="68" applyFont="1" applyFill="1" applyBorder="1" applyAlignment="1" applyProtection="1">
      <alignment vertical="center"/>
      <protection locked="0"/>
    </xf>
    <xf numFmtId="0" fontId="5" fillId="0" borderId="37" xfId="71" applyFont="1" applyFill="1" applyBorder="1" applyAlignment="1" applyProtection="1">
      <alignment vertical="center"/>
    </xf>
    <xf numFmtId="0" fontId="5" fillId="0" borderId="0" xfId="71" applyFont="1" applyFill="1" applyBorder="1" applyAlignment="1" applyProtection="1">
      <alignment vertical="center"/>
    </xf>
    <xf numFmtId="0" fontId="1" fillId="0" borderId="37" xfId="71" quotePrefix="1" applyFont="1" applyFill="1" applyBorder="1" applyAlignment="1" applyProtection="1">
      <alignment horizontal="center" vertical="center"/>
      <protection locked="0"/>
    </xf>
    <xf numFmtId="0" fontId="1" fillId="0" borderId="38" xfId="71" applyFont="1" applyFill="1" applyBorder="1" applyAlignment="1" applyProtection="1">
      <alignment horizontal="center" vertical="center"/>
      <protection locked="0"/>
    </xf>
    <xf numFmtId="0" fontId="1" fillId="0" borderId="0" xfId="71" quotePrefix="1" applyFont="1" applyFill="1" applyBorder="1" applyAlignment="1" applyProtection="1">
      <alignment horizontal="center"/>
      <protection locked="0"/>
    </xf>
    <xf numFmtId="0" fontId="1" fillId="0" borderId="37" xfId="71" quotePrefix="1" applyFont="1" applyFill="1" applyBorder="1" applyAlignment="1" applyProtection="1">
      <alignment horizontal="center"/>
      <protection locked="0"/>
    </xf>
    <xf numFmtId="0" fontId="1" fillId="0" borderId="38" xfId="71" applyFont="1" applyFill="1" applyBorder="1" applyAlignment="1" applyProtection="1">
      <alignment horizontal="center"/>
      <protection locked="0"/>
    </xf>
    <xf numFmtId="0" fontId="5" fillId="0" borderId="47" xfId="71" applyFont="1" applyFill="1" applyBorder="1" applyAlignment="1" applyProtection="1">
      <alignment vertical="center"/>
    </xf>
    <xf numFmtId="0" fontId="5" fillId="0" borderId="46" xfId="71" applyFont="1" applyFill="1" applyBorder="1" applyAlignment="1" applyProtection="1">
      <alignment vertical="center"/>
    </xf>
    <xf numFmtId="0" fontId="1" fillId="0" borderId="47" xfId="71" applyFont="1" applyFill="1" applyBorder="1" applyAlignment="1" applyProtection="1">
      <alignment horizontal="center" vertical="center"/>
      <protection locked="0"/>
    </xf>
    <xf numFmtId="0" fontId="1" fillId="0" borderId="46" xfId="71" applyFont="1" applyFill="1" applyBorder="1" applyAlignment="1" applyProtection="1">
      <alignment horizontal="center" vertical="center"/>
      <protection locked="0"/>
    </xf>
    <xf numFmtId="0" fontId="1" fillId="0" borderId="48" xfId="71" applyFont="1" applyFill="1" applyBorder="1" applyAlignment="1" applyProtection="1">
      <alignment horizontal="center" vertical="center"/>
      <protection locked="0"/>
    </xf>
    <xf numFmtId="0" fontId="1" fillId="0" borderId="46" xfId="71" applyFont="1" applyFill="1" applyBorder="1" applyAlignment="1" applyProtection="1">
      <alignment horizontal="center"/>
      <protection locked="0"/>
    </xf>
    <xf numFmtId="0" fontId="1" fillId="0" borderId="47" xfId="71" applyFont="1" applyFill="1" applyBorder="1" applyAlignment="1" applyProtection="1">
      <alignment horizontal="center"/>
      <protection locked="0"/>
    </xf>
    <xf numFmtId="0" fontId="1" fillId="0" borderId="48" xfId="71" applyFont="1" applyFill="1" applyBorder="1" applyAlignment="1" applyProtection="1">
      <alignment horizontal="center"/>
      <protection locked="0"/>
    </xf>
    <xf numFmtId="0" fontId="45" fillId="25" borderId="158" xfId="68" applyFont="1" applyFill="1" applyBorder="1" applyAlignment="1" applyProtection="1">
      <alignment horizontal="center" vertical="center"/>
    </xf>
    <xf numFmtId="0" fontId="47" fillId="0" borderId="205" xfId="71" applyFont="1" applyFill="1" applyBorder="1" applyAlignment="1" applyProtection="1">
      <alignment horizontal="center" wrapText="1"/>
    </xf>
    <xf numFmtId="0" fontId="47" fillId="0" borderId="0" xfId="71" applyFont="1" applyFill="1" applyBorder="1" applyAlignment="1" applyProtection="1">
      <alignment horizontal="center" wrapText="1"/>
    </xf>
    <xf numFmtId="0" fontId="200" fillId="0" borderId="0" xfId="21" applyFont="1" applyFill="1" applyBorder="1" applyAlignment="1" applyProtection="1">
      <alignment horizontal="center"/>
    </xf>
    <xf numFmtId="0" fontId="200" fillId="0" borderId="347" xfId="21" applyFont="1" applyFill="1" applyBorder="1" applyAlignment="1" applyProtection="1">
      <alignment horizontal="center"/>
    </xf>
    <xf numFmtId="0" fontId="1" fillId="27" borderId="20" xfId="71" applyFont="1" applyFill="1" applyBorder="1" applyAlignment="1" applyProtection="1">
      <alignment horizontal="center"/>
      <protection locked="0"/>
    </xf>
    <xf numFmtId="0" fontId="1" fillId="27" borderId="19" xfId="71" applyFont="1" applyFill="1" applyBorder="1" applyAlignment="1" applyProtection="1">
      <alignment horizontal="center"/>
      <protection locked="0"/>
    </xf>
    <xf numFmtId="0" fontId="1" fillId="0" borderId="20" xfId="71" applyFont="1" applyFill="1" applyBorder="1" applyAlignment="1" applyProtection="1">
      <alignment horizontal="center" vertical="center"/>
    </xf>
    <xf numFmtId="0" fontId="1" fillId="0" borderId="0" xfId="71" applyFont="1" applyFill="1" applyBorder="1" applyAlignment="1" applyProtection="1">
      <alignment horizontal="center" vertical="center"/>
    </xf>
    <xf numFmtId="0" fontId="1" fillId="0" borderId="19" xfId="71" applyFont="1" applyFill="1" applyBorder="1" applyAlignment="1" applyProtection="1">
      <alignment horizontal="center" vertical="center"/>
    </xf>
    <xf numFmtId="0" fontId="3" fillId="27" borderId="397" xfId="21" applyFont="1" applyFill="1" applyBorder="1" applyAlignment="1" applyProtection="1">
      <alignment horizontal="center"/>
    </xf>
    <xf numFmtId="0" fontId="3" fillId="27" borderId="396" xfId="21" applyFont="1" applyFill="1" applyBorder="1" applyAlignment="1" applyProtection="1">
      <alignment horizontal="center"/>
    </xf>
    <xf numFmtId="0" fontId="3" fillId="27" borderId="0" xfId="21" applyFont="1" applyFill="1" applyBorder="1" applyAlignment="1" applyProtection="1">
      <alignment horizontal="center"/>
    </xf>
    <xf numFmtId="0" fontId="44" fillId="0" borderId="0" xfId="21" applyFont="1" applyFill="1" applyBorder="1" applyAlignment="1" applyProtection="1">
      <alignment horizontal="justify" wrapText="1"/>
    </xf>
    <xf numFmtId="1" fontId="55" fillId="27" borderId="0" xfId="21" applyNumberFormat="1" applyFont="1" applyFill="1" applyBorder="1" applyAlignment="1" applyProtection="1">
      <alignment horizontal="left" vertical="center"/>
    </xf>
    <xf numFmtId="0" fontId="8" fillId="25" borderId="20" xfId="21" applyFont="1" applyFill="1" applyBorder="1" applyAlignment="1" applyProtection="1">
      <alignment horizontal="center" vertical="center"/>
    </xf>
    <xf numFmtId="0" fontId="8" fillId="25" borderId="0" xfId="21" applyFont="1" applyFill="1" applyBorder="1" applyAlignment="1" applyProtection="1">
      <alignment horizontal="center" vertical="center"/>
    </xf>
    <xf numFmtId="0" fontId="8" fillId="25" borderId="19" xfId="21" applyFont="1" applyFill="1" applyBorder="1" applyAlignment="1" applyProtection="1">
      <alignment horizontal="center" vertical="center"/>
    </xf>
    <xf numFmtId="0" fontId="1" fillId="0" borderId="20" xfId="21" quotePrefix="1" applyFont="1" applyFill="1" applyBorder="1" applyAlignment="1" applyProtection="1">
      <alignment horizontal="center" vertical="center"/>
    </xf>
    <xf numFmtId="0" fontId="1" fillId="0" borderId="16" xfId="21" applyFont="1" applyFill="1" applyBorder="1" applyAlignment="1" applyProtection="1">
      <alignment horizontal="center" vertical="center"/>
    </xf>
    <xf numFmtId="0" fontId="1" fillId="0" borderId="0" xfId="21" quotePrefix="1" applyFont="1" applyFill="1" applyBorder="1" applyAlignment="1" applyProtection="1">
      <alignment horizontal="center" vertical="center"/>
    </xf>
    <xf numFmtId="0" fontId="1" fillId="0" borderId="347" xfId="21" applyFont="1" applyFill="1" applyBorder="1" applyAlignment="1" applyProtection="1">
      <alignment horizontal="center" vertical="center"/>
    </xf>
    <xf numFmtId="0" fontId="195" fillId="27" borderId="0" xfId="21" applyFont="1" applyFill="1" applyBorder="1" applyAlignment="1" applyProtection="1"/>
    <xf numFmtId="0" fontId="199" fillId="27" borderId="0" xfId="21" applyFont="1" applyFill="1" applyBorder="1" applyAlignment="1" applyProtection="1">
      <alignment horizontal="left" vertical="center"/>
      <protection locked="0"/>
    </xf>
    <xf numFmtId="0" fontId="1" fillId="0" borderId="19" xfId="21" applyFont="1" applyFill="1" applyBorder="1" applyAlignment="1" applyProtection="1">
      <alignment horizontal="center"/>
    </xf>
    <xf numFmtId="0" fontId="1" fillId="0" borderId="15" xfId="21" applyFont="1" applyFill="1" applyBorder="1" applyAlignment="1" applyProtection="1">
      <alignment horizontal="center"/>
    </xf>
    <xf numFmtId="168" fontId="1" fillId="27" borderId="0" xfId="21" applyNumberFormat="1" applyFont="1" applyFill="1" applyBorder="1" applyAlignment="1" applyProtection="1">
      <alignment horizontal="left" vertical="center"/>
      <protection locked="0"/>
    </xf>
    <xf numFmtId="168" fontId="199" fillId="27" borderId="0" xfId="21" applyNumberFormat="1" applyFont="1" applyFill="1" applyBorder="1" applyAlignment="1" applyProtection="1">
      <alignment horizontal="left" vertical="center"/>
      <protection locked="0"/>
    </xf>
    <xf numFmtId="1" fontId="199" fillId="27" borderId="0" xfId="21" applyNumberFormat="1" applyFont="1" applyFill="1" applyBorder="1" applyAlignment="1" applyProtection="1">
      <alignment horizontal="right" vertical="center"/>
      <protection locked="0"/>
    </xf>
    <xf numFmtId="2" fontId="199" fillId="27" borderId="0" xfId="21" applyNumberFormat="1" applyFont="1" applyFill="1" applyBorder="1" applyAlignment="1" applyProtection="1">
      <alignment horizontal="right" vertical="center"/>
    </xf>
    <xf numFmtId="0" fontId="3" fillId="25" borderId="397" xfId="21" applyFont="1" applyFill="1" applyBorder="1" applyAlignment="1" applyProtection="1">
      <alignment horizontal="center"/>
    </xf>
    <xf numFmtId="0" fontId="3" fillId="25" borderId="395" xfId="21" applyFont="1" applyFill="1" applyBorder="1" applyAlignment="1" applyProtection="1">
      <alignment horizontal="center"/>
    </xf>
    <xf numFmtId="0" fontId="3" fillId="25" borderId="396" xfId="21" applyFont="1" applyFill="1" applyBorder="1" applyAlignment="1" applyProtection="1">
      <alignment horizontal="center"/>
    </xf>
    <xf numFmtId="0" fontId="1" fillId="27" borderId="0" xfId="21" applyFont="1" applyFill="1" applyBorder="1" applyAlignment="1" applyProtection="1">
      <alignment horizontal="left" vertical="center"/>
      <protection locked="0"/>
    </xf>
    <xf numFmtId="49" fontId="199" fillId="27" borderId="0" xfId="21" applyNumberFormat="1" applyFont="1" applyFill="1" applyBorder="1" applyAlignment="1" applyProtection="1">
      <alignment horizontal="left" vertical="center"/>
      <protection locked="0"/>
    </xf>
    <xf numFmtId="0" fontId="195" fillId="27" borderId="0" xfId="21" applyFont="1" applyFill="1" applyBorder="1" applyAlignment="1" applyProtection="1">
      <alignment horizontal="left"/>
    </xf>
    <xf numFmtId="0" fontId="195" fillId="27" borderId="0" xfId="21" applyFont="1" applyFill="1" applyBorder="1" applyProtection="1"/>
    <xf numFmtId="0" fontId="199" fillId="27" borderId="0" xfId="21" applyFont="1" applyFill="1" applyBorder="1" applyAlignment="1" applyProtection="1">
      <alignment horizontal="justify" vertical="top" wrapText="1"/>
    </xf>
    <xf numFmtId="0" fontId="3" fillId="27" borderId="0" xfId="21" applyFont="1" applyFill="1" applyBorder="1" applyAlignment="1" applyProtection="1">
      <alignment horizontal="left" vertical="center"/>
    </xf>
    <xf numFmtId="0" fontId="3" fillId="25" borderId="397" xfId="21" applyFont="1" applyFill="1" applyBorder="1" applyAlignment="1" applyProtection="1">
      <alignment horizontal="center" vertical="center"/>
    </xf>
    <xf numFmtId="0" fontId="3" fillId="25" borderId="395" xfId="21" applyFont="1" applyFill="1" applyBorder="1" applyAlignment="1" applyProtection="1">
      <alignment horizontal="center" vertical="center"/>
    </xf>
    <xf numFmtId="0" fontId="3" fillId="25" borderId="396" xfId="21" applyFont="1" applyFill="1" applyBorder="1" applyAlignment="1" applyProtection="1">
      <alignment horizontal="center" vertical="center"/>
    </xf>
    <xf numFmtId="0" fontId="51" fillId="27" borderId="0" xfId="21" applyFont="1" applyFill="1" applyBorder="1" applyAlignment="1" applyProtection="1">
      <alignment horizontal="right"/>
      <protection locked="0"/>
    </xf>
    <xf numFmtId="0" fontId="44" fillId="27" borderId="0" xfId="21" applyFont="1" applyFill="1" applyBorder="1" applyAlignment="1" applyProtection="1">
      <alignment horizontal="center"/>
    </xf>
    <xf numFmtId="0" fontId="3" fillId="27" borderId="0" xfId="21" applyFont="1" applyFill="1" applyBorder="1" applyAlignment="1" applyProtection="1">
      <alignment horizontal="left"/>
    </xf>
    <xf numFmtId="0" fontId="1" fillId="27" borderId="0" xfId="21" applyFont="1" applyFill="1" applyBorder="1" applyAlignment="1" applyProtection="1">
      <alignment horizontal="center"/>
    </xf>
    <xf numFmtId="0" fontId="1" fillId="27" borderId="19" xfId="21" applyFont="1" applyFill="1" applyBorder="1" applyAlignment="1" applyProtection="1">
      <alignment horizontal="center"/>
    </xf>
    <xf numFmtId="0" fontId="5" fillId="25" borderId="395" xfId="21" applyFont="1" applyFill="1" applyBorder="1" applyAlignment="1" applyProtection="1">
      <alignment horizontal="center" vertical="center"/>
    </xf>
    <xf numFmtId="0" fontId="5" fillId="25" borderId="0" xfId="21" applyFont="1" applyFill="1" applyBorder="1" applyAlignment="1" applyProtection="1">
      <alignment horizontal="center" vertical="center"/>
    </xf>
    <xf numFmtId="0" fontId="5" fillId="25" borderId="396" xfId="21" applyFont="1" applyFill="1" applyBorder="1" applyAlignment="1" applyProtection="1">
      <alignment horizontal="center" vertical="center"/>
    </xf>
    <xf numFmtId="0" fontId="5" fillId="25" borderId="19" xfId="21" applyFont="1" applyFill="1" applyBorder="1" applyAlignment="1" applyProtection="1">
      <alignment horizontal="center" vertical="center"/>
    </xf>
    <xf numFmtId="0" fontId="195" fillId="0" borderId="57" xfId="71" applyFont="1" applyBorder="1" applyAlignment="1" applyProtection="1">
      <alignment horizontal="left"/>
    </xf>
    <xf numFmtId="0" fontId="5" fillId="25" borderId="397" xfId="21" applyFont="1" applyFill="1" applyBorder="1" applyAlignment="1" applyProtection="1">
      <alignment horizontal="center"/>
    </xf>
    <xf numFmtId="0" fontId="5" fillId="25" borderId="395" xfId="21" applyFont="1" applyFill="1" applyBorder="1" applyAlignment="1" applyProtection="1">
      <alignment horizontal="center"/>
    </xf>
    <xf numFmtId="0" fontId="1" fillId="0" borderId="397" xfId="71" applyFont="1" applyBorder="1" applyAlignment="1" applyProtection="1">
      <alignment horizontal="center"/>
    </xf>
    <xf numFmtId="0" fontId="1" fillId="0" borderId="395" xfId="71" applyFont="1" applyBorder="1" applyAlignment="1" applyProtection="1">
      <alignment horizontal="center"/>
    </xf>
    <xf numFmtId="0" fontId="1" fillId="0" borderId="396" xfId="71" applyFont="1" applyBorder="1" applyAlignment="1" applyProtection="1">
      <alignment horizontal="center"/>
    </xf>
    <xf numFmtId="0" fontId="1" fillId="0" borderId="20" xfId="71" applyFont="1" applyBorder="1" applyAlignment="1" applyProtection="1">
      <alignment horizontal="center"/>
    </xf>
    <xf numFmtId="0" fontId="1" fillId="0" borderId="16" xfId="71" applyFont="1" applyBorder="1" applyAlignment="1" applyProtection="1">
      <alignment horizontal="center"/>
    </xf>
    <xf numFmtId="0" fontId="51" fillId="0" borderId="397" xfId="71" applyFont="1" applyBorder="1" applyAlignment="1" applyProtection="1">
      <alignment horizontal="center" vertical="center"/>
    </xf>
    <xf numFmtId="0" fontId="51" fillId="0" borderId="395" xfId="71" applyFont="1" applyBorder="1" applyAlignment="1" applyProtection="1">
      <alignment horizontal="center" vertical="center"/>
    </xf>
    <xf numFmtId="0" fontId="51" fillId="0" borderId="396" xfId="71" applyFont="1" applyBorder="1" applyAlignment="1" applyProtection="1">
      <alignment horizontal="center" vertical="center"/>
    </xf>
    <xf numFmtId="0" fontId="51" fillId="0" borderId="20" xfId="71" applyFont="1" applyBorder="1" applyAlignment="1" applyProtection="1">
      <alignment horizontal="center" vertical="center"/>
    </xf>
    <xf numFmtId="0" fontId="51" fillId="0" borderId="0" xfId="71" applyFont="1" applyBorder="1" applyAlignment="1" applyProtection="1">
      <alignment horizontal="center" vertical="center"/>
    </xf>
    <xf numFmtId="0" fontId="51" fillId="0" borderId="19" xfId="71" applyFont="1" applyBorder="1" applyAlignment="1" applyProtection="1">
      <alignment horizontal="center" vertical="center"/>
    </xf>
    <xf numFmtId="0" fontId="5" fillId="25" borderId="397" xfId="21" applyFont="1" applyFill="1" applyBorder="1" applyAlignment="1" applyProtection="1">
      <alignment horizontal="center" vertical="center" wrapText="1"/>
    </xf>
    <xf numFmtId="0" fontId="5" fillId="25" borderId="20" xfId="21" applyFont="1" applyFill="1" applyBorder="1" applyAlignment="1" applyProtection="1">
      <alignment horizontal="center" vertical="center" wrapText="1"/>
    </xf>
    <xf numFmtId="0" fontId="5" fillId="25" borderId="395" xfId="21" applyFont="1" applyFill="1" applyBorder="1" applyAlignment="1" applyProtection="1">
      <alignment horizontal="center" vertical="center" wrapText="1"/>
    </xf>
    <xf numFmtId="0" fontId="5" fillId="25" borderId="0" xfId="21" applyFont="1" applyFill="1" applyBorder="1" applyAlignment="1" applyProtection="1">
      <alignment horizontal="center" vertical="center" wrapText="1"/>
    </xf>
    <xf numFmtId="0" fontId="2" fillId="0" borderId="351" xfId="546" applyFont="1" applyFill="1" applyBorder="1" applyAlignment="1" applyProtection="1">
      <alignment horizontal="center" vertical="center" wrapText="1"/>
    </xf>
    <xf numFmtId="173" fontId="1" fillId="0" borderId="53" xfId="546" applyNumberFormat="1" applyFont="1" applyBorder="1" applyAlignment="1" applyProtection="1">
      <alignment horizontal="center"/>
    </xf>
    <xf numFmtId="0" fontId="3" fillId="0" borderId="397" xfId="546" applyFont="1" applyBorder="1" applyAlignment="1" applyProtection="1">
      <alignment horizontal="center" vertical="center" wrapText="1"/>
    </xf>
    <xf numFmtId="0" fontId="3" fillId="0" borderId="395" xfId="546" applyFont="1" applyBorder="1" applyAlignment="1" applyProtection="1">
      <alignment horizontal="center" vertical="center" wrapText="1"/>
    </xf>
    <xf numFmtId="0" fontId="3" fillId="0" borderId="396" xfId="546" applyFont="1" applyBorder="1" applyAlignment="1" applyProtection="1">
      <alignment horizontal="center" vertical="center" wrapText="1"/>
    </xf>
    <xf numFmtId="0" fontId="3" fillId="0" borderId="20" xfId="546" applyFont="1" applyBorder="1" applyAlignment="1" applyProtection="1">
      <alignment horizontal="center" vertical="center" wrapText="1"/>
    </xf>
    <xf numFmtId="0" fontId="3" fillId="0" borderId="0" xfId="546" applyFont="1" applyBorder="1" applyAlignment="1" applyProtection="1">
      <alignment horizontal="center" vertical="center" wrapText="1"/>
    </xf>
    <xf numFmtId="0" fontId="3" fillId="0" borderId="19" xfId="546" applyFont="1" applyBorder="1" applyAlignment="1" applyProtection="1">
      <alignment horizontal="center" vertical="center" wrapText="1"/>
    </xf>
    <xf numFmtId="0" fontId="3" fillId="0" borderId="16" xfId="546" applyFont="1" applyBorder="1" applyAlignment="1" applyProtection="1">
      <alignment horizontal="center" vertical="center" wrapText="1"/>
    </xf>
    <xf numFmtId="0" fontId="3" fillId="0" borderId="347" xfId="546" applyFont="1" applyBorder="1" applyAlignment="1" applyProtection="1">
      <alignment horizontal="center" vertical="center" wrapText="1"/>
    </xf>
    <xf numFmtId="0" fontId="3" fillId="0" borderId="15" xfId="546" applyFont="1" applyBorder="1" applyAlignment="1" applyProtection="1">
      <alignment horizontal="center" vertical="center" wrapText="1"/>
    </xf>
    <xf numFmtId="0" fontId="3" fillId="25" borderId="14" xfId="546" applyFont="1" applyFill="1" applyBorder="1" applyAlignment="1" applyProtection="1">
      <alignment horizontal="center"/>
    </xf>
    <xf numFmtId="0" fontId="3" fillId="25" borderId="13" xfId="546" applyFont="1" applyFill="1" applyBorder="1" applyAlignment="1" applyProtection="1">
      <alignment horizontal="center"/>
    </xf>
    <xf numFmtId="0" fontId="3" fillId="25" borderId="18" xfId="546" applyFont="1" applyFill="1" applyBorder="1" applyAlignment="1" applyProtection="1">
      <alignment horizontal="center"/>
    </xf>
    <xf numFmtId="0" fontId="3" fillId="0" borderId="12" xfId="546" applyFont="1" applyBorder="1" applyAlignment="1" applyProtection="1">
      <alignment horizontal="center"/>
    </xf>
    <xf numFmtId="0" fontId="3" fillId="0" borderId="11" xfId="546" applyFont="1" applyBorder="1" applyAlignment="1" applyProtection="1">
      <alignment horizontal="center"/>
    </xf>
    <xf numFmtId="0" fontId="3" fillId="0" borderId="10" xfId="546" applyFont="1" applyBorder="1" applyAlignment="1" applyProtection="1">
      <alignment horizontal="center"/>
    </xf>
    <xf numFmtId="0" fontId="3" fillId="25" borderId="12" xfId="546" applyFont="1" applyFill="1" applyBorder="1" applyAlignment="1" applyProtection="1">
      <alignment horizontal="center" vertical="center"/>
    </xf>
    <xf numFmtId="0" fontId="3" fillId="25" borderId="11" xfId="546" applyFont="1" applyFill="1" applyBorder="1" applyAlignment="1" applyProtection="1">
      <alignment horizontal="center" vertical="center"/>
    </xf>
    <xf numFmtId="0" fontId="3" fillId="25" borderId="10" xfId="546" applyFont="1" applyFill="1" applyBorder="1" applyAlignment="1" applyProtection="1">
      <alignment horizontal="center" vertical="center"/>
    </xf>
    <xf numFmtId="0" fontId="188" fillId="2" borderId="12" xfId="546" applyFont="1" applyFill="1" applyBorder="1" applyAlignment="1" applyProtection="1">
      <alignment horizontal="left" vertical="center" wrapText="1"/>
    </xf>
    <xf numFmtId="0" fontId="188" fillId="2" borderId="11" xfId="546" applyFont="1" applyFill="1" applyBorder="1" applyAlignment="1" applyProtection="1">
      <alignment horizontal="left" vertical="center" wrapText="1"/>
    </xf>
    <xf numFmtId="0" fontId="188" fillId="2" borderId="14" xfId="546" applyFont="1" applyFill="1" applyBorder="1" applyAlignment="1" applyProtection="1">
      <alignment horizontal="left" vertical="center" wrapText="1"/>
    </xf>
    <xf numFmtId="0" fontId="188" fillId="2" borderId="13" xfId="546" applyFont="1" applyFill="1" applyBorder="1" applyAlignment="1" applyProtection="1">
      <alignment horizontal="left" vertical="center" wrapText="1"/>
    </xf>
    <xf numFmtId="0" fontId="1" fillId="0" borderId="16" xfId="546" applyBorder="1" applyAlignment="1" applyProtection="1">
      <alignment horizontal="center"/>
      <protection locked="0"/>
    </xf>
    <xf numFmtId="0" fontId="1" fillId="0" borderId="347" xfId="546" applyBorder="1" applyAlignment="1" applyProtection="1">
      <alignment horizontal="center"/>
      <protection locked="0"/>
    </xf>
    <xf numFmtId="0" fontId="1" fillId="0" borderId="15" xfId="546" applyBorder="1" applyAlignment="1" applyProtection="1">
      <alignment horizontal="center"/>
      <protection locked="0"/>
    </xf>
    <xf numFmtId="0" fontId="2" fillId="0" borderId="7" xfId="546" applyFont="1" applyBorder="1" applyAlignment="1" applyProtection="1">
      <alignment horizontal="center" vertical="center" wrapText="1"/>
    </xf>
    <xf numFmtId="0" fontId="2" fillId="0" borderId="6" xfId="546" applyFont="1" applyBorder="1" applyAlignment="1" applyProtection="1">
      <alignment horizontal="center" vertical="center" wrapText="1"/>
    </xf>
    <xf numFmtId="0" fontId="2" fillId="0" borderId="352" xfId="546" applyFont="1" applyBorder="1" applyAlignment="1" applyProtection="1">
      <alignment horizontal="center" vertical="center" wrapText="1"/>
    </xf>
    <xf numFmtId="0" fontId="2" fillId="0" borderId="59" xfId="546" applyFont="1" applyBorder="1" applyAlignment="1" applyProtection="1">
      <alignment horizontal="center" vertical="center" wrapText="1"/>
    </xf>
    <xf numFmtId="0" fontId="2" fillId="0" borderId="353" xfId="546" applyFont="1" applyBorder="1" applyAlignment="1" applyProtection="1">
      <alignment horizontal="center" vertical="center" wrapText="1"/>
    </xf>
    <xf numFmtId="0" fontId="2" fillId="0" borderId="49" xfId="546" applyFont="1" applyBorder="1" applyAlignment="1" applyProtection="1">
      <alignment horizontal="center" vertical="center"/>
    </xf>
    <xf numFmtId="0" fontId="2" fillId="0" borderId="50" xfId="546" applyFont="1" applyBorder="1" applyAlignment="1" applyProtection="1">
      <alignment horizontal="center" vertical="center"/>
    </xf>
    <xf numFmtId="0" fontId="2" fillId="0" borderId="51" xfId="546" applyFont="1" applyBorder="1" applyAlignment="1" applyProtection="1">
      <alignment horizontal="center" vertical="center"/>
    </xf>
    <xf numFmtId="0" fontId="1" fillId="0" borderId="14" xfId="546" applyBorder="1" applyAlignment="1" applyProtection="1">
      <alignment horizontal="center"/>
    </xf>
    <xf numFmtId="0" fontId="1" fillId="0" borderId="13" xfId="546" applyBorder="1" applyAlignment="1" applyProtection="1">
      <alignment horizontal="center"/>
    </xf>
    <xf numFmtId="0" fontId="1" fillId="0" borderId="18" xfId="546" applyBorder="1" applyAlignment="1" applyProtection="1">
      <alignment horizontal="center"/>
    </xf>
    <xf numFmtId="0" fontId="3" fillId="0" borderId="9" xfId="546" applyFont="1" applyBorder="1" applyAlignment="1" applyProtection="1">
      <alignment horizontal="center"/>
    </xf>
    <xf numFmtId="0" fontId="1" fillId="0" borderId="9" xfId="546" applyFont="1" applyBorder="1" applyAlignment="1" applyProtection="1">
      <alignment horizontal="center"/>
    </xf>
    <xf numFmtId="0" fontId="1" fillId="0" borderId="5" xfId="546" applyFont="1" applyBorder="1" applyAlignment="1" applyProtection="1">
      <alignment horizontal="center" vertical="center" wrapText="1"/>
    </xf>
    <xf numFmtId="0" fontId="1" fillId="0" borderId="5" xfId="546" applyBorder="1" applyAlignment="1" applyProtection="1">
      <alignment horizontal="center" vertical="center" wrapText="1"/>
    </xf>
    <xf numFmtId="0" fontId="1" fillId="30" borderId="53" xfId="546" applyFill="1" applyBorder="1" applyAlignment="1" applyProtection="1">
      <alignment horizontal="center"/>
      <protection locked="0"/>
    </xf>
    <xf numFmtId="0" fontId="3" fillId="30" borderId="5" xfId="546" applyFont="1" applyFill="1" applyBorder="1" applyAlignment="1" applyProtection="1">
      <alignment horizontal="center"/>
      <protection locked="0"/>
    </xf>
    <xf numFmtId="0" fontId="188" fillId="2" borderId="152" xfId="21" applyFont="1" applyFill="1" applyBorder="1" applyAlignment="1" applyProtection="1">
      <alignment horizontal="left"/>
    </xf>
    <xf numFmtId="0" fontId="188" fillId="2" borderId="149" xfId="21" applyFont="1" applyFill="1" applyBorder="1" applyAlignment="1" applyProtection="1">
      <alignment horizontal="left"/>
    </xf>
    <xf numFmtId="0" fontId="188" fillId="2" borderId="153" xfId="21" applyFont="1" applyFill="1" applyBorder="1" applyAlignment="1" applyProtection="1">
      <alignment horizontal="left"/>
    </xf>
    <xf numFmtId="0" fontId="1" fillId="0" borderId="0" xfId="21" applyFont="1" applyFill="1" applyBorder="1" applyAlignment="1" applyProtection="1">
      <alignment horizontal="center"/>
      <protection locked="0"/>
    </xf>
    <xf numFmtId="0" fontId="3" fillId="30" borderId="3" xfId="546" applyFont="1" applyFill="1" applyBorder="1" applyAlignment="1" applyProtection="1">
      <alignment horizontal="center"/>
      <protection locked="0"/>
    </xf>
    <xf numFmtId="0" fontId="51" fillId="0" borderId="0" xfId="546" applyFont="1" applyBorder="1" applyAlignment="1" applyProtection="1">
      <alignment horizontal="center"/>
      <protection locked="0"/>
    </xf>
    <xf numFmtId="0" fontId="44" fillId="27" borderId="0" xfId="71" applyFont="1" applyFill="1" applyBorder="1" applyAlignment="1" applyProtection="1">
      <alignment horizontal="right" vertical="center" wrapText="1"/>
    </xf>
    <xf numFmtId="0" fontId="2" fillId="0" borderId="2" xfId="546" applyFont="1" applyBorder="1" applyAlignment="1" applyProtection="1">
      <alignment horizontal="center" vertical="center" wrapText="1"/>
    </xf>
    <xf numFmtId="0" fontId="2" fillId="0" borderId="4" xfId="546" applyFont="1" applyBorder="1" applyAlignment="1" applyProtection="1">
      <alignment horizontal="center" vertical="center" wrapText="1"/>
    </xf>
    <xf numFmtId="0" fontId="2" fillId="0" borderId="354" xfId="546" applyFont="1" applyBorder="1" applyAlignment="1" applyProtection="1">
      <alignment horizontal="center" vertical="center" wrapText="1"/>
    </xf>
    <xf numFmtId="0" fontId="2" fillId="0" borderId="136" xfId="546" applyFont="1" applyBorder="1" applyAlignment="1" applyProtection="1">
      <alignment horizontal="center" vertical="center" wrapText="1"/>
    </xf>
    <xf numFmtId="0" fontId="2" fillId="0" borderId="1" xfId="546" applyFont="1" applyBorder="1" applyAlignment="1" applyProtection="1">
      <alignment horizontal="center" vertical="center" wrapText="1"/>
    </xf>
    <xf numFmtId="1" fontId="5" fillId="0" borderId="12" xfId="546" applyNumberFormat="1" applyFont="1" applyBorder="1" applyAlignment="1" applyProtection="1">
      <alignment horizontal="center" vertical="center" wrapText="1"/>
    </xf>
    <xf numFmtId="1" fontId="5" fillId="0" borderId="11" xfId="546" applyNumberFormat="1" applyFont="1" applyBorder="1" applyAlignment="1" applyProtection="1">
      <alignment horizontal="center" vertical="center" wrapText="1"/>
    </xf>
    <xf numFmtId="1" fontId="5" fillId="0" borderId="355" xfId="546" applyNumberFormat="1" applyFont="1" applyBorder="1" applyAlignment="1" applyProtection="1">
      <alignment horizontal="center" vertical="center" wrapText="1"/>
    </xf>
    <xf numFmtId="1" fontId="5" fillId="0" borderId="356" xfId="546" applyNumberFormat="1" applyFont="1" applyBorder="1" applyAlignment="1" applyProtection="1">
      <alignment horizontal="center" vertical="center" wrapText="1"/>
    </xf>
    <xf numFmtId="1" fontId="5" fillId="0" borderId="10" xfId="546" applyNumberFormat="1" applyFont="1" applyBorder="1" applyAlignment="1" applyProtection="1">
      <alignment horizontal="center" vertical="center" wrapText="1"/>
    </xf>
    <xf numFmtId="0" fontId="47" fillId="0" borderId="0" xfId="70" applyFont="1" applyFill="1" applyBorder="1" applyAlignment="1" applyProtection="1">
      <alignment horizontal="center" wrapText="1"/>
      <protection locked="0"/>
    </xf>
    <xf numFmtId="0" fontId="184" fillId="25" borderId="301" xfId="68" applyFont="1" applyFill="1" applyBorder="1" applyAlignment="1" applyProtection="1">
      <alignment horizontal="center" vertical="center"/>
      <protection locked="0"/>
    </xf>
    <xf numFmtId="0" fontId="47" fillId="0" borderId="345" xfId="69" applyFont="1" applyBorder="1" applyAlignment="1" applyProtection="1">
      <alignment horizontal="center" wrapText="1"/>
      <protection locked="0"/>
    </xf>
    <xf numFmtId="0" fontId="3" fillId="27" borderId="35" xfId="71" applyFont="1" applyFill="1" applyBorder="1" applyAlignment="1" applyProtection="1">
      <alignment horizontal="left" vertical="top" wrapText="1"/>
      <protection locked="0"/>
    </xf>
    <xf numFmtId="0" fontId="2" fillId="0" borderId="0" xfId="546" applyFont="1" applyBorder="1" applyAlignment="1" applyProtection="1">
      <alignment horizontal="left" vertical="center" wrapText="1"/>
    </xf>
    <xf numFmtId="0" fontId="2" fillId="0" borderId="0" xfId="546" applyFont="1" applyFill="1" applyBorder="1" applyAlignment="1" applyProtection="1">
      <alignment horizontal="left" vertical="center"/>
    </xf>
    <xf numFmtId="0" fontId="1" fillId="0" borderId="0" xfId="546" applyFont="1" applyFill="1" applyBorder="1" applyAlignment="1" applyProtection="1">
      <alignment horizontal="left" vertical="center" wrapText="1"/>
    </xf>
    <xf numFmtId="168" fontId="4" fillId="0" borderId="0" xfId="546" applyNumberFormat="1" applyFont="1" applyFill="1" applyBorder="1" applyAlignment="1" applyProtection="1">
      <alignment horizontal="center" vertical="center" wrapText="1"/>
      <protection locked="0"/>
    </xf>
    <xf numFmtId="2" fontId="43" fillId="0" borderId="95" xfId="546" applyNumberFormat="1" applyFont="1" applyFill="1" applyBorder="1" applyAlignment="1" applyProtection="1">
      <alignment horizontal="center" vertical="center"/>
    </xf>
    <xf numFmtId="2" fontId="43" fillId="0" borderId="66" xfId="546" applyNumberFormat="1" applyFont="1" applyFill="1" applyBorder="1" applyAlignment="1" applyProtection="1">
      <alignment horizontal="center" vertical="center"/>
    </xf>
    <xf numFmtId="2" fontId="43" fillId="0" borderId="96" xfId="546" applyNumberFormat="1" applyFont="1" applyFill="1" applyBorder="1" applyAlignment="1" applyProtection="1">
      <alignment horizontal="center" vertical="center"/>
    </xf>
    <xf numFmtId="2" fontId="43" fillId="0" borderId="97" xfId="546" applyNumberFormat="1" applyFont="1" applyFill="1" applyBorder="1" applyAlignment="1" applyProtection="1">
      <alignment horizontal="center" vertical="center"/>
    </xf>
    <xf numFmtId="2" fontId="43" fillId="0" borderId="53" xfId="546" applyNumberFormat="1" applyFont="1" applyFill="1" applyBorder="1" applyAlignment="1" applyProtection="1">
      <alignment horizontal="center" vertical="center"/>
    </xf>
    <xf numFmtId="2" fontId="43" fillId="0" borderId="98" xfId="546" applyNumberFormat="1" applyFont="1" applyFill="1" applyBorder="1" applyAlignment="1" applyProtection="1">
      <alignment horizontal="center" vertical="center"/>
    </xf>
    <xf numFmtId="0" fontId="2" fillId="0" borderId="351" xfId="546" applyFont="1" applyBorder="1" applyAlignment="1" applyProtection="1">
      <alignment horizontal="center" vertical="center"/>
      <protection locked="0"/>
    </xf>
    <xf numFmtId="2" fontId="43" fillId="27" borderId="95" xfId="546" applyNumberFormat="1" applyFont="1" applyFill="1" applyBorder="1" applyAlignment="1" applyProtection="1">
      <alignment horizontal="center" vertical="center"/>
      <protection locked="0"/>
    </xf>
    <xf numFmtId="2" fontId="43" fillId="27" borderId="66" xfId="546" applyNumberFormat="1" applyFont="1" applyFill="1" applyBorder="1" applyAlignment="1" applyProtection="1">
      <alignment horizontal="center" vertical="center"/>
      <protection locked="0"/>
    </xf>
    <xf numFmtId="2" fontId="43" fillId="27" borderId="96" xfId="546" applyNumberFormat="1" applyFont="1" applyFill="1" applyBorder="1" applyAlignment="1" applyProtection="1">
      <alignment horizontal="center" vertical="center"/>
      <protection locked="0"/>
    </xf>
    <xf numFmtId="2" fontId="43" fillId="27" borderId="97" xfId="546" applyNumberFormat="1" applyFont="1" applyFill="1" applyBorder="1" applyAlignment="1" applyProtection="1">
      <alignment horizontal="center" vertical="center"/>
      <protection locked="0"/>
    </xf>
    <xf numFmtId="2" fontId="43" fillId="27" borderId="53" xfId="546" applyNumberFormat="1" applyFont="1" applyFill="1" applyBorder="1" applyAlignment="1" applyProtection="1">
      <alignment horizontal="center" vertical="center"/>
      <protection locked="0"/>
    </xf>
    <xf numFmtId="2" fontId="43" fillId="27" borderId="98" xfId="546" applyNumberFormat="1" applyFont="1" applyFill="1" applyBorder="1" applyAlignment="1" applyProtection="1">
      <alignment horizontal="center" vertical="center"/>
      <protection locked="0"/>
    </xf>
    <xf numFmtId="0" fontId="49" fillId="0" borderId="154" xfId="211" applyFont="1" applyBorder="1" applyAlignment="1" applyProtection="1">
      <alignment horizontal="center"/>
      <protection locked="0"/>
    </xf>
    <xf numFmtId="0" fontId="49" fillId="0" borderId="40" xfId="211" applyFont="1" applyBorder="1" applyAlignment="1" applyProtection="1">
      <alignment horizontal="center"/>
      <protection locked="0"/>
    </xf>
    <xf numFmtId="0" fontId="49" fillId="0" borderId="155" xfId="211" applyFont="1" applyBorder="1" applyAlignment="1" applyProtection="1">
      <alignment horizontal="center"/>
      <protection locked="0"/>
    </xf>
    <xf numFmtId="0" fontId="3" fillId="0" borderId="347" xfId="71" applyFont="1" applyBorder="1" applyAlignment="1" applyProtection="1">
      <alignment horizontal="center" vertical="center" wrapText="1"/>
    </xf>
    <xf numFmtId="0" fontId="43" fillId="27" borderId="99" xfId="208" applyFont="1" applyFill="1" applyBorder="1" applyAlignment="1" applyProtection="1">
      <alignment horizontal="left" vertical="center"/>
    </xf>
    <xf numFmtId="0" fontId="43" fillId="27" borderId="35" xfId="208" applyFont="1" applyFill="1" applyBorder="1" applyAlignment="1" applyProtection="1">
      <alignment horizontal="left" vertical="center"/>
    </xf>
    <xf numFmtId="0" fontId="2" fillId="2" borderId="35" xfId="544" applyFont="1" applyFill="1" applyBorder="1" applyAlignment="1" applyProtection="1">
      <alignment vertical="center"/>
      <protection locked="0"/>
    </xf>
    <xf numFmtId="0" fontId="2" fillId="2" borderId="137" xfId="544" applyFont="1" applyFill="1" applyBorder="1" applyAlignment="1" applyProtection="1">
      <alignment vertical="center"/>
      <protection locked="0"/>
    </xf>
    <xf numFmtId="0" fontId="43" fillId="27" borderId="20" xfId="208" applyFont="1" applyFill="1" applyBorder="1" applyAlignment="1" applyProtection="1">
      <alignment vertical="center"/>
    </xf>
    <xf numFmtId="0" fontId="43" fillId="27" borderId="0" xfId="208" applyFont="1" applyFill="1" applyBorder="1" applyAlignment="1" applyProtection="1">
      <alignment vertical="center"/>
    </xf>
    <xf numFmtId="0" fontId="43" fillId="27" borderId="0" xfId="208" applyFont="1" applyFill="1" applyBorder="1" applyAlignment="1" applyProtection="1">
      <alignment vertical="top"/>
    </xf>
    <xf numFmtId="0" fontId="2" fillId="27" borderId="0" xfId="208" applyFont="1" applyFill="1" applyBorder="1" applyAlignment="1" applyProtection="1">
      <alignment horizontal="left" vertical="center"/>
    </xf>
    <xf numFmtId="0" fontId="2" fillId="27" borderId="13" xfId="208" applyFont="1" applyFill="1" applyBorder="1" applyAlignment="1" applyProtection="1">
      <alignment horizontal="left" vertical="center"/>
      <protection locked="0"/>
    </xf>
    <xf numFmtId="0" fontId="2" fillId="27" borderId="18" xfId="208" applyFont="1" applyFill="1" applyBorder="1" applyAlignment="1" applyProtection="1">
      <alignment horizontal="left" vertical="center"/>
      <protection locked="0"/>
    </xf>
    <xf numFmtId="0" fontId="2" fillId="27" borderId="0" xfId="208" applyFont="1" applyFill="1" applyBorder="1" applyAlignment="1" applyProtection="1">
      <alignment vertical="top"/>
    </xf>
    <xf numFmtId="0" fontId="43" fillId="27" borderId="16" xfId="208" applyFont="1" applyFill="1" applyBorder="1" applyAlignment="1" applyProtection="1">
      <alignment vertical="center"/>
    </xf>
    <xf numFmtId="0" fontId="43" fillId="27" borderId="347" xfId="208" applyFont="1" applyFill="1" applyBorder="1" applyAlignment="1" applyProtection="1">
      <alignment vertical="center"/>
    </xf>
    <xf numFmtId="0" fontId="43" fillId="0" borderId="347" xfId="208" applyFont="1" applyBorder="1" applyAlignment="1" applyProtection="1">
      <alignment vertical="center"/>
    </xf>
    <xf numFmtId="0" fontId="1" fillId="0" borderId="20" xfId="71" applyFont="1" applyFill="1" applyBorder="1" applyAlignment="1" applyProtection="1">
      <alignment horizontal="center"/>
    </xf>
    <xf numFmtId="0" fontId="1" fillId="0" borderId="0" xfId="71" applyFont="1" applyFill="1" applyBorder="1" applyAlignment="1" applyProtection="1">
      <alignment horizontal="center"/>
    </xf>
    <xf numFmtId="0" fontId="1" fillId="0" borderId="19" xfId="71" applyFont="1" applyFill="1" applyBorder="1" applyAlignment="1" applyProtection="1">
      <alignment horizontal="center"/>
    </xf>
    <xf numFmtId="0" fontId="131" fillId="27" borderId="145" xfId="210" applyFont="1" applyFill="1" applyBorder="1" applyAlignment="1" applyProtection="1">
      <alignment horizontal="center" vertical="center"/>
      <protection locked="0"/>
    </xf>
    <xf numFmtId="0" fontId="131" fillId="27" borderId="144" xfId="210" applyFont="1" applyFill="1" applyBorder="1" applyAlignment="1" applyProtection="1">
      <alignment horizontal="center" vertical="center"/>
      <protection locked="0"/>
    </xf>
    <xf numFmtId="0" fontId="131" fillId="27" borderId="146" xfId="210" applyFont="1" applyFill="1" applyBorder="1" applyAlignment="1" applyProtection="1">
      <alignment horizontal="center" vertical="center"/>
      <protection locked="0"/>
    </xf>
    <xf numFmtId="0" fontId="1" fillId="0" borderId="347" xfId="71" applyFont="1" applyFill="1" applyBorder="1" applyAlignment="1" applyProtection="1">
      <alignment horizontal="center"/>
    </xf>
    <xf numFmtId="0" fontId="4" fillId="27" borderId="347" xfId="71" applyFont="1" applyFill="1" applyBorder="1" applyAlignment="1" applyProtection="1">
      <alignment horizontal="left" vertical="top" wrapText="1"/>
      <protection locked="0"/>
    </xf>
    <xf numFmtId="0" fontId="2" fillId="27" borderId="107" xfId="68" applyFont="1" applyFill="1" applyBorder="1" applyAlignment="1" applyProtection="1">
      <alignment horizontal="center" vertical="center"/>
      <protection locked="0"/>
    </xf>
    <xf numFmtId="0" fontId="2" fillId="27" borderId="61" xfId="68" applyFont="1" applyFill="1" applyBorder="1" applyAlignment="1" applyProtection="1">
      <alignment horizontal="center" vertical="center"/>
      <protection locked="0"/>
    </xf>
    <xf numFmtId="0" fontId="2" fillId="27" borderId="151" xfId="68" applyFont="1" applyFill="1" applyBorder="1" applyAlignment="1" applyProtection="1">
      <alignment horizontal="center" vertical="center"/>
      <protection locked="0"/>
    </xf>
    <xf numFmtId="0" fontId="129" fillId="0" borderId="195" xfId="208" applyFont="1" applyBorder="1" applyAlignment="1" applyProtection="1">
      <alignment horizontal="center" vertical="center" wrapText="1"/>
    </xf>
    <xf numFmtId="0" fontId="129" fillId="0" borderId="187" xfId="208" applyFont="1" applyBorder="1" applyAlignment="1" applyProtection="1">
      <alignment horizontal="center" vertical="center" wrapText="1"/>
    </xf>
    <xf numFmtId="0" fontId="129" fillId="0" borderId="349" xfId="208" applyFont="1" applyBorder="1" applyAlignment="1" applyProtection="1">
      <alignment horizontal="center" vertical="center" wrapText="1"/>
    </xf>
    <xf numFmtId="0" fontId="129" fillId="0" borderId="193" xfId="208" applyFont="1" applyBorder="1" applyAlignment="1" applyProtection="1">
      <alignment horizontal="center" vertical="center" wrapText="1"/>
    </xf>
    <xf numFmtId="0" fontId="129" fillId="0" borderId="194" xfId="208" applyFont="1" applyBorder="1" applyAlignment="1" applyProtection="1">
      <alignment horizontal="center" vertical="center" wrapText="1"/>
    </xf>
    <xf numFmtId="167" fontId="2" fillId="0" borderId="170" xfId="208" applyNumberFormat="1" applyFont="1" applyBorder="1" applyAlignment="1" applyProtection="1">
      <alignment horizontal="center" vertical="center" wrapText="1"/>
    </xf>
    <xf numFmtId="167" fontId="2" fillId="0" borderId="194" xfId="208" applyNumberFormat="1" applyFont="1" applyBorder="1" applyAlignment="1" applyProtection="1">
      <alignment horizontal="center" vertical="center" wrapText="1"/>
    </xf>
    <xf numFmtId="0" fontId="2" fillId="27" borderId="16" xfId="71" applyFont="1" applyFill="1" applyBorder="1" applyAlignment="1" applyProtection="1">
      <alignment horizontal="center" vertical="top" wrapText="1"/>
      <protection locked="0"/>
    </xf>
    <xf numFmtId="0" fontId="2" fillId="27" borderId="17" xfId="71" applyFont="1" applyFill="1" applyBorder="1" applyAlignment="1" applyProtection="1">
      <alignment horizontal="center" vertical="top" wrapText="1"/>
      <protection locked="0"/>
    </xf>
    <xf numFmtId="0" fontId="2" fillId="27" borderId="15" xfId="71" applyFont="1" applyFill="1" applyBorder="1" applyAlignment="1" applyProtection="1">
      <alignment horizontal="center" vertical="top" wrapText="1"/>
      <protection locked="0"/>
    </xf>
    <xf numFmtId="0" fontId="4" fillId="27" borderId="37" xfId="71" applyFont="1" applyFill="1" applyBorder="1" applyAlignment="1" applyProtection="1">
      <alignment horizontal="center" vertical="center"/>
    </xf>
    <xf numFmtId="0" fontId="4" fillId="27" borderId="0" xfId="71" applyFont="1" applyFill="1" applyBorder="1" applyAlignment="1" applyProtection="1">
      <alignment horizontal="center" vertical="center"/>
    </xf>
    <xf numFmtId="0" fontId="4" fillId="27" borderId="38" xfId="71" applyFont="1" applyFill="1" applyBorder="1" applyAlignment="1" applyProtection="1">
      <alignment horizontal="center" vertical="center"/>
    </xf>
    <xf numFmtId="0" fontId="129" fillId="0" borderId="172" xfId="208" applyFont="1" applyBorder="1" applyAlignment="1" applyProtection="1">
      <alignment horizontal="center" vertical="center" wrapText="1"/>
    </xf>
    <xf numFmtId="0" fontId="129" fillId="0" borderId="173" xfId="208" applyFont="1" applyBorder="1" applyAlignment="1" applyProtection="1">
      <alignment horizontal="center" vertical="center" wrapText="1"/>
    </xf>
    <xf numFmtId="0" fontId="129" fillId="0" borderId="184" xfId="208" applyFont="1" applyBorder="1" applyAlignment="1" applyProtection="1">
      <alignment horizontal="center" vertical="center" wrapText="1"/>
    </xf>
    <xf numFmtId="0" fontId="129" fillId="0" borderId="37" xfId="208" applyFont="1" applyBorder="1" applyAlignment="1" applyProtection="1">
      <alignment horizontal="center" vertical="center" wrapText="1"/>
      <protection locked="0"/>
    </xf>
    <xf numFmtId="0" fontId="129" fillId="0" borderId="0" xfId="208" applyFont="1" applyBorder="1" applyAlignment="1" applyProtection="1">
      <alignment horizontal="center" vertical="center" wrapText="1"/>
      <protection locked="0"/>
    </xf>
    <xf numFmtId="0" fontId="129" fillId="0" borderId="19" xfId="208" applyFont="1" applyBorder="1" applyAlignment="1" applyProtection="1">
      <alignment horizontal="center" vertical="center" wrapText="1"/>
      <protection locked="0"/>
    </xf>
    <xf numFmtId="0" fontId="133" fillId="0" borderId="99" xfId="208" applyFont="1" applyBorder="1" applyAlignment="1" applyProtection="1">
      <alignment horizontal="center" vertical="center" wrapText="1"/>
    </xf>
    <xf numFmtId="0" fontId="133" fillId="0" borderId="35" xfId="208" applyFont="1" applyBorder="1" applyAlignment="1" applyProtection="1">
      <alignment horizontal="center" vertical="center" wrapText="1"/>
    </xf>
    <xf numFmtId="0" fontId="133" fillId="0" borderId="154" xfId="208" applyFont="1" applyBorder="1" applyAlignment="1" applyProtection="1">
      <alignment horizontal="center" vertical="center" wrapText="1"/>
    </xf>
    <xf numFmtId="0" fontId="133" fillId="0" borderId="40" xfId="208" applyFont="1" applyBorder="1" applyAlignment="1" applyProtection="1">
      <alignment horizontal="center" vertical="center" wrapText="1"/>
    </xf>
    <xf numFmtId="0" fontId="129" fillId="0" borderId="34" xfId="208" applyFont="1" applyBorder="1" applyAlignment="1" applyProtection="1">
      <alignment horizontal="center" vertical="center" wrapText="1"/>
    </xf>
    <xf numFmtId="0" fontId="129" fillId="0" borderId="35" xfId="208" applyFont="1" applyBorder="1" applyAlignment="1" applyProtection="1">
      <alignment horizontal="center" vertical="center" wrapText="1"/>
    </xf>
    <xf numFmtId="1" fontId="43" fillId="0" borderId="32" xfId="208" applyNumberFormat="1" applyFont="1" applyBorder="1" applyAlignment="1" applyProtection="1">
      <alignment horizontal="center" vertical="center" wrapText="1"/>
      <protection locked="0"/>
    </xf>
    <xf numFmtId="1" fontId="43" fillId="0" borderId="42" xfId="208" applyNumberFormat="1" applyFont="1" applyBorder="1" applyAlignment="1" applyProtection="1">
      <alignment horizontal="center" vertical="center" wrapText="1"/>
      <protection locked="0"/>
    </xf>
    <xf numFmtId="167" fontId="2" fillId="39" borderId="32" xfId="208" applyNumberFormat="1" applyFont="1" applyFill="1" applyBorder="1" applyAlignment="1" applyProtection="1">
      <alignment horizontal="center" vertical="center" wrapText="1"/>
    </xf>
    <xf numFmtId="167" fontId="2" fillId="39" borderId="42" xfId="208" applyNumberFormat="1" applyFont="1" applyFill="1" applyBorder="1" applyAlignment="1" applyProtection="1">
      <alignment horizontal="center" vertical="center" wrapText="1"/>
    </xf>
    <xf numFmtId="167" fontId="2" fillId="39" borderId="226" xfId="208" applyNumberFormat="1" applyFont="1" applyFill="1" applyBorder="1" applyAlignment="1" applyProtection="1">
      <alignment horizontal="center" vertical="center" wrapText="1"/>
    </xf>
    <xf numFmtId="0" fontId="2" fillId="0" borderId="40" xfId="208" applyFont="1" applyBorder="1" applyAlignment="1" applyProtection="1">
      <alignment horizontal="left" vertical="center"/>
    </xf>
    <xf numFmtId="1" fontId="43" fillId="0" borderId="326" xfId="208" applyNumberFormat="1" applyFont="1" applyBorder="1" applyAlignment="1" applyProtection="1">
      <alignment horizontal="center" vertical="center"/>
      <protection locked="0"/>
    </xf>
    <xf numFmtId="0" fontId="2" fillId="25" borderId="37" xfId="208" applyFont="1" applyFill="1" applyBorder="1" applyAlignment="1" applyProtection="1">
      <alignment horizontal="center" vertical="center" wrapText="1"/>
    </xf>
    <xf numFmtId="0" fontId="2" fillId="25" borderId="0" xfId="208" applyFont="1" applyFill="1" applyBorder="1" applyAlignment="1" applyProtection="1">
      <alignment horizontal="center" vertical="center" wrapText="1"/>
    </xf>
    <xf numFmtId="0" fontId="2" fillId="25" borderId="39" xfId="208" applyFont="1" applyFill="1" applyBorder="1" applyAlignment="1" applyProtection="1">
      <alignment horizontal="center" vertical="center" wrapText="1"/>
    </xf>
    <xf numFmtId="0" fontId="2" fillId="25" borderId="40" xfId="208" applyFont="1" applyFill="1" applyBorder="1" applyAlignment="1" applyProtection="1">
      <alignment horizontal="center" vertical="center" wrapText="1"/>
    </xf>
    <xf numFmtId="0" fontId="2" fillId="25" borderId="19" xfId="208" applyFont="1" applyFill="1" applyBorder="1" applyAlignment="1" applyProtection="1">
      <alignment horizontal="center" vertical="center" wrapText="1"/>
    </xf>
    <xf numFmtId="0" fontId="2" fillId="25" borderId="155" xfId="208" applyFont="1" applyFill="1" applyBorder="1" applyAlignment="1" applyProtection="1">
      <alignment horizontal="center" vertical="center" wrapText="1"/>
    </xf>
    <xf numFmtId="0" fontId="43" fillId="2" borderId="0" xfId="208" applyFont="1" applyFill="1" applyBorder="1" applyAlignment="1" applyProtection="1">
      <alignment horizontal="center" vertical="center" wrapText="1"/>
    </xf>
    <xf numFmtId="0" fontId="43" fillId="2" borderId="19" xfId="208" applyFont="1" applyFill="1" applyBorder="1" applyAlignment="1" applyProtection="1">
      <alignment horizontal="center" vertical="center" wrapText="1"/>
    </xf>
    <xf numFmtId="0" fontId="5" fillId="0" borderId="13" xfId="208" applyFont="1" applyBorder="1" applyAlignment="1" applyProtection="1">
      <alignment horizontal="center" vertical="center"/>
    </xf>
    <xf numFmtId="0" fontId="5" fillId="0" borderId="18" xfId="208" applyFont="1" applyBorder="1" applyAlignment="1" applyProtection="1">
      <alignment horizontal="center" vertical="center"/>
    </xf>
    <xf numFmtId="0" fontId="5" fillId="0" borderId="0" xfId="208" applyFont="1" applyBorder="1" applyAlignment="1" applyProtection="1">
      <alignment horizontal="center" vertical="center" wrapText="1"/>
    </xf>
    <xf numFmtId="0" fontId="5" fillId="0" borderId="19" xfId="208" applyFont="1" applyBorder="1" applyAlignment="1" applyProtection="1">
      <alignment horizontal="center" vertical="center" wrapText="1"/>
    </xf>
    <xf numFmtId="0" fontId="140" fillId="0" borderId="43" xfId="208" applyFont="1" applyBorder="1" applyAlignment="1" applyProtection="1">
      <alignment horizontal="left" vertical="center" wrapText="1"/>
    </xf>
    <xf numFmtId="0" fontId="140" fillId="0" borderId="31" xfId="208" applyFont="1" applyBorder="1" applyAlignment="1" applyProtection="1">
      <alignment horizontal="left" vertical="center" wrapText="1"/>
    </xf>
    <xf numFmtId="0" fontId="140" fillId="0" borderId="330" xfId="208" applyFont="1" applyBorder="1" applyAlignment="1" applyProtection="1">
      <alignment horizontal="left" vertical="center" wrapText="1"/>
    </xf>
    <xf numFmtId="0" fontId="140" fillId="0" borderId="43" xfId="208" applyFont="1" applyBorder="1" applyAlignment="1" applyProtection="1">
      <alignment horizontal="left" vertical="center"/>
    </xf>
    <xf numFmtId="0" fontId="140" fillId="0" borderId="31" xfId="208" applyFont="1" applyBorder="1" applyAlignment="1" applyProtection="1">
      <alignment horizontal="left" vertical="center"/>
    </xf>
    <xf numFmtId="0" fontId="140" fillId="0" borderId="330" xfId="208" applyFont="1" applyBorder="1" applyAlignment="1" applyProtection="1">
      <alignment horizontal="left" vertical="center"/>
    </xf>
    <xf numFmtId="0" fontId="43" fillId="25" borderId="99" xfId="208" applyFont="1" applyFill="1" applyBorder="1" applyAlignment="1" applyProtection="1">
      <alignment horizontal="center" vertical="center"/>
    </xf>
    <xf numFmtId="0" fontId="43" fillId="25" borderId="35" xfId="208" applyFont="1" applyFill="1" applyBorder="1" applyAlignment="1" applyProtection="1">
      <alignment horizontal="center" vertical="center"/>
    </xf>
    <xf numFmtId="0" fontId="43" fillId="25" borderId="0" xfId="208" applyFont="1" applyFill="1" applyBorder="1" applyAlignment="1" applyProtection="1">
      <alignment horizontal="center" vertical="center"/>
    </xf>
    <xf numFmtId="0" fontId="43" fillId="25" borderId="19" xfId="208" applyFont="1" applyFill="1" applyBorder="1" applyAlignment="1" applyProtection="1">
      <alignment horizontal="center" vertical="center"/>
    </xf>
    <xf numFmtId="0" fontId="129" fillId="0" borderId="137" xfId="208" applyFont="1" applyBorder="1" applyAlignment="1" applyProtection="1">
      <alignment horizontal="center" vertical="center" wrapText="1"/>
    </xf>
    <xf numFmtId="0" fontId="129" fillId="0" borderId="39" xfId="208" applyFont="1" applyBorder="1" applyAlignment="1" applyProtection="1">
      <alignment horizontal="center" vertical="center" wrapText="1"/>
      <protection locked="0"/>
    </xf>
    <xf numFmtId="0" fontId="129" fillId="0" borderId="40" xfId="208" applyFont="1" applyBorder="1" applyAlignment="1" applyProtection="1">
      <alignment horizontal="center" vertical="center" wrapText="1"/>
      <protection locked="0"/>
    </xf>
    <xf numFmtId="1" fontId="43" fillId="0" borderId="32" xfId="208" applyNumberFormat="1" applyFont="1" applyBorder="1" applyAlignment="1" applyProtection="1">
      <alignment horizontal="center" vertical="center" wrapText="1"/>
    </xf>
    <xf numFmtId="1" fontId="43" fillId="0" borderId="42" xfId="208" applyNumberFormat="1" applyFont="1" applyBorder="1" applyAlignment="1" applyProtection="1">
      <alignment horizontal="center" vertical="center" wrapText="1"/>
    </xf>
    <xf numFmtId="1" fontId="43" fillId="0" borderId="43" xfId="208" applyNumberFormat="1" applyFont="1" applyBorder="1" applyAlignment="1" applyProtection="1">
      <alignment horizontal="center" vertical="center" wrapText="1"/>
    </xf>
    <xf numFmtId="0" fontId="43" fillId="25" borderId="20" xfId="208" applyFont="1" applyFill="1" applyBorder="1" applyAlignment="1" applyProtection="1">
      <alignment horizontal="center" vertical="center"/>
    </xf>
    <xf numFmtId="0" fontId="1" fillId="0" borderId="14" xfId="208" applyFont="1" applyBorder="1" applyAlignment="1" applyProtection="1">
      <alignment horizontal="center"/>
    </xf>
    <xf numFmtId="0" fontId="1" fillId="0" borderId="13" xfId="208" applyFont="1" applyBorder="1" applyAlignment="1" applyProtection="1">
      <alignment horizontal="center"/>
    </xf>
    <xf numFmtId="0" fontId="1" fillId="0" borderId="105" xfId="208" applyFont="1" applyBorder="1" applyAlignment="1" applyProtection="1">
      <alignment horizontal="center"/>
    </xf>
    <xf numFmtId="0" fontId="1" fillId="0" borderId="20" xfId="208" applyFont="1" applyBorder="1" applyAlignment="1" applyProtection="1">
      <alignment horizontal="center"/>
    </xf>
    <xf numFmtId="0" fontId="1" fillId="0" borderId="0" xfId="208" applyFont="1" applyBorder="1" applyAlignment="1" applyProtection="1">
      <alignment horizontal="center"/>
    </xf>
    <xf numFmtId="0" fontId="1" fillId="0" borderId="38" xfId="208" applyFont="1" applyBorder="1" applyAlignment="1" applyProtection="1">
      <alignment horizontal="center"/>
    </xf>
    <xf numFmtId="0" fontId="1" fillId="0" borderId="154" xfId="208" applyFont="1" applyBorder="1" applyAlignment="1" applyProtection="1">
      <alignment horizontal="center"/>
    </xf>
    <xf numFmtId="0" fontId="1" fillId="0" borderId="40" xfId="208" applyFont="1" applyBorder="1" applyAlignment="1" applyProtection="1">
      <alignment horizontal="center"/>
    </xf>
    <xf numFmtId="0" fontId="1" fillId="0" borderId="41" xfId="208" applyFont="1" applyBorder="1" applyAlignment="1" applyProtection="1">
      <alignment horizontal="center"/>
    </xf>
    <xf numFmtId="0" fontId="2" fillId="2" borderId="35" xfId="72" applyFont="1" applyFill="1" applyBorder="1" applyAlignment="1" applyProtection="1">
      <alignment vertical="center"/>
      <protection locked="0"/>
    </xf>
    <xf numFmtId="0" fontId="2" fillId="2" borderId="137" xfId="72" applyFont="1" applyFill="1" applyBorder="1" applyAlignment="1" applyProtection="1">
      <alignment vertical="center"/>
      <protection locked="0"/>
    </xf>
    <xf numFmtId="0" fontId="43" fillId="27" borderId="35" xfId="0" applyFont="1" applyFill="1" applyBorder="1" applyAlignment="1" applyProtection="1">
      <alignment horizontal="left" vertical="center"/>
    </xf>
    <xf numFmtId="0" fontId="43" fillId="27" borderId="17" xfId="208" applyFont="1" applyFill="1" applyBorder="1" applyAlignment="1" applyProtection="1">
      <alignment vertical="center"/>
    </xf>
    <xf numFmtId="0" fontId="2" fillId="27" borderId="17" xfId="208" applyFont="1" applyFill="1" applyBorder="1" applyAlignment="1" applyProtection="1">
      <alignment horizontal="left" vertical="center"/>
    </xf>
    <xf numFmtId="0" fontId="129" fillId="0" borderId="99" xfId="208" applyFont="1" applyBorder="1" applyAlignment="1" applyProtection="1">
      <alignment horizontal="center" vertical="center" wrapText="1"/>
    </xf>
    <xf numFmtId="0" fontId="129" fillId="0" borderId="36" xfId="208" applyFont="1" applyBorder="1" applyAlignment="1" applyProtection="1">
      <alignment horizontal="center" vertical="center" wrapText="1"/>
    </xf>
    <xf numFmtId="0" fontId="129" fillId="0" borderId="154" xfId="208" applyFont="1" applyBorder="1" applyAlignment="1" applyProtection="1">
      <alignment horizontal="center" vertical="center" wrapText="1"/>
    </xf>
    <xf numFmtId="0" fontId="129" fillId="0" borderId="40" xfId="208" applyFont="1" applyBorder="1" applyAlignment="1" applyProtection="1">
      <alignment horizontal="center" vertical="center" wrapText="1"/>
    </xf>
    <xf numFmtId="0" fontId="129" fillId="0" borderId="41" xfId="208" applyFont="1" applyBorder="1" applyAlignment="1" applyProtection="1">
      <alignment horizontal="center" vertical="center" wrapText="1"/>
    </xf>
    <xf numFmtId="0" fontId="2" fillId="27" borderId="35" xfId="208" applyFont="1" applyFill="1" applyBorder="1" applyAlignment="1" applyProtection="1">
      <alignment horizontal="left" vertical="center"/>
    </xf>
    <xf numFmtId="0" fontId="43" fillId="27" borderId="99" xfId="208" applyFont="1" applyFill="1" applyBorder="1" applyAlignment="1" applyProtection="1">
      <alignment vertical="center"/>
    </xf>
    <xf numFmtId="0" fontId="43" fillId="27" borderId="35" xfId="208" applyFont="1" applyFill="1" applyBorder="1" applyAlignment="1" applyProtection="1">
      <alignment vertical="center"/>
    </xf>
    <xf numFmtId="0" fontId="43" fillId="0" borderId="17" xfId="208" applyFont="1" applyBorder="1" applyAlignment="1" applyProtection="1">
      <alignment horizontal="left" vertical="center"/>
    </xf>
    <xf numFmtId="0" fontId="43" fillId="27" borderId="0" xfId="208" applyFont="1" applyFill="1" applyBorder="1" applyAlignment="1" applyProtection="1">
      <alignment horizontal="right" vertical="top"/>
    </xf>
    <xf numFmtId="0" fontId="2" fillId="0" borderId="221" xfId="208" applyFont="1" applyBorder="1" applyAlignment="1" applyProtection="1">
      <alignment horizontal="center" vertical="center" wrapText="1"/>
    </xf>
    <xf numFmtId="0" fontId="2" fillId="0" borderId="42" xfId="208" applyFont="1" applyBorder="1" applyAlignment="1" applyProtection="1">
      <alignment horizontal="center" vertical="center" wrapText="1"/>
    </xf>
    <xf numFmtId="0" fontId="43" fillId="27" borderId="0" xfId="208" applyFont="1" applyFill="1" applyBorder="1" applyAlignment="1" applyProtection="1">
      <alignment horizontal="right" vertical="center"/>
    </xf>
    <xf numFmtId="0" fontId="59" fillId="33" borderId="57" xfId="208" applyFont="1" applyFill="1" applyBorder="1" applyAlignment="1" applyProtection="1">
      <alignment horizontal="left" vertical="top" wrapText="1"/>
      <protection locked="0"/>
    </xf>
    <xf numFmtId="167" fontId="2" fillId="0" borderId="193" xfId="208" applyNumberFormat="1" applyFont="1" applyBorder="1" applyAlignment="1" applyProtection="1">
      <alignment horizontal="center" vertical="center" wrapText="1"/>
    </xf>
    <xf numFmtId="167" fontId="2" fillId="0" borderId="207" xfId="208" applyNumberFormat="1" applyFont="1" applyBorder="1" applyAlignment="1" applyProtection="1">
      <alignment horizontal="center" vertical="center" wrapText="1"/>
    </xf>
    <xf numFmtId="0" fontId="3" fillId="33" borderId="57" xfId="208" applyFont="1" applyFill="1" applyBorder="1" applyAlignment="1" applyProtection="1">
      <alignment horizontal="center"/>
      <protection locked="0"/>
    </xf>
    <xf numFmtId="0" fontId="2" fillId="27" borderId="193" xfId="208" applyFont="1" applyFill="1" applyBorder="1" applyAlignment="1" applyProtection="1">
      <alignment horizontal="center" vertical="center" wrapText="1"/>
    </xf>
    <xf numFmtId="0" fontId="2" fillId="27" borderId="207" xfId="208" applyFont="1" applyFill="1" applyBorder="1" applyAlignment="1" applyProtection="1">
      <alignment horizontal="center" vertical="center" wrapText="1"/>
    </xf>
    <xf numFmtId="0" fontId="2" fillId="0" borderId="169" xfId="208" applyFont="1" applyBorder="1" applyAlignment="1" applyProtection="1">
      <alignment horizontal="center" vertical="center" wrapText="1"/>
      <protection locked="0"/>
    </xf>
    <xf numFmtId="0" fontId="2" fillId="0" borderId="170" xfId="208" applyFont="1" applyBorder="1" applyAlignment="1" applyProtection="1">
      <alignment horizontal="center" vertical="center" wrapText="1"/>
      <protection locked="0"/>
    </xf>
    <xf numFmtId="0" fontId="2" fillId="0" borderId="194" xfId="208" applyFont="1" applyBorder="1" applyAlignment="1" applyProtection="1">
      <alignment horizontal="center" vertical="center" wrapText="1"/>
      <protection locked="0"/>
    </xf>
    <xf numFmtId="1" fontId="2" fillId="0" borderId="169" xfId="208" applyNumberFormat="1" applyFont="1" applyBorder="1" applyAlignment="1" applyProtection="1">
      <alignment horizontal="center" vertical="center" wrapText="1"/>
      <protection locked="0"/>
    </xf>
    <xf numFmtId="1" fontId="2" fillId="0" borderId="170" xfId="208" applyNumberFormat="1" applyFont="1" applyBorder="1" applyAlignment="1" applyProtection="1">
      <alignment horizontal="center" vertical="center" wrapText="1"/>
      <protection locked="0"/>
    </xf>
    <xf numFmtId="1" fontId="2" fillId="0" borderId="194" xfId="208" applyNumberFormat="1" applyFont="1" applyBorder="1" applyAlignment="1" applyProtection="1">
      <alignment horizontal="center" vertical="center" wrapText="1"/>
      <protection locked="0"/>
    </xf>
    <xf numFmtId="0" fontId="130" fillId="33" borderId="57" xfId="208" applyFont="1" applyFill="1" applyBorder="1" applyAlignment="1" applyProtection="1">
      <alignment horizontal="left" vertical="top" wrapText="1"/>
      <protection locked="0"/>
    </xf>
    <xf numFmtId="0" fontId="2" fillId="0" borderId="172" xfId="208" applyFont="1" applyBorder="1" applyAlignment="1" applyProtection="1">
      <alignment horizontal="center" vertical="center" wrapText="1"/>
      <protection locked="0"/>
    </xf>
    <xf numFmtId="0" fontId="2" fillId="0" borderId="173" xfId="208" applyFont="1" applyBorder="1" applyAlignment="1" applyProtection="1">
      <alignment horizontal="center" vertical="center" wrapText="1"/>
      <protection locked="0"/>
    </xf>
    <xf numFmtId="0" fontId="2" fillId="0" borderId="184" xfId="208" applyFont="1" applyBorder="1" applyAlignment="1" applyProtection="1">
      <alignment horizontal="center" vertical="center" wrapText="1"/>
      <protection locked="0"/>
    </xf>
    <xf numFmtId="1" fontId="2" fillId="0" borderId="172" xfId="208" applyNumberFormat="1" applyFont="1" applyBorder="1" applyAlignment="1" applyProtection="1">
      <alignment horizontal="center" vertical="center" wrapText="1"/>
      <protection locked="0"/>
    </xf>
    <xf numFmtId="1" fontId="2" fillId="0" borderId="173" xfId="208" applyNumberFormat="1" applyFont="1" applyBorder="1" applyAlignment="1" applyProtection="1">
      <alignment horizontal="center" vertical="center" wrapText="1"/>
      <protection locked="0"/>
    </xf>
    <xf numFmtId="1" fontId="2" fillId="0" borderId="184" xfId="208" applyNumberFormat="1" applyFont="1" applyBorder="1" applyAlignment="1" applyProtection="1">
      <alignment horizontal="center" vertical="center" wrapText="1"/>
      <protection locked="0"/>
    </xf>
    <xf numFmtId="0" fontId="43" fillId="40" borderId="0" xfId="208" applyFont="1" applyFill="1" applyBorder="1" applyAlignment="1" applyProtection="1">
      <alignment horizontal="center" vertical="center" wrapText="1"/>
    </xf>
    <xf numFmtId="0" fontId="43" fillId="40" borderId="19" xfId="208" applyFont="1" applyFill="1" applyBorder="1" applyAlignment="1" applyProtection="1">
      <alignment horizontal="center" vertical="center" wrapText="1"/>
    </xf>
    <xf numFmtId="0" fontId="45" fillId="25" borderId="60" xfId="68" applyFont="1" applyFill="1" applyBorder="1" applyAlignment="1" applyProtection="1">
      <alignment horizontal="center" vertical="center"/>
    </xf>
    <xf numFmtId="0" fontId="45" fillId="25" borderId="61" xfId="68" applyFont="1" applyFill="1" applyBorder="1" applyAlignment="1" applyProtection="1">
      <alignment horizontal="center" vertical="center"/>
    </xf>
    <xf numFmtId="0" fontId="4" fillId="27" borderId="37" xfId="71" applyFont="1" applyFill="1" applyBorder="1" applyAlignment="1" applyProtection="1">
      <alignment horizontal="center" vertical="center"/>
      <protection locked="0"/>
    </xf>
    <xf numFmtId="0" fontId="5" fillId="25" borderId="20" xfId="71" applyFont="1" applyFill="1" applyBorder="1" applyAlignment="1" applyProtection="1">
      <alignment horizontal="left" vertical="center" indent="1"/>
    </xf>
    <xf numFmtId="0" fontId="5" fillId="25" borderId="0" xfId="71" applyFont="1" applyFill="1" applyBorder="1" applyAlignment="1" applyProtection="1">
      <alignment horizontal="left" vertical="center" indent="1"/>
    </xf>
    <xf numFmtId="0" fontId="5" fillId="25" borderId="38" xfId="71" applyFont="1" applyFill="1" applyBorder="1" applyAlignment="1" applyProtection="1">
      <alignment horizontal="left" vertical="center" indent="1"/>
    </xf>
    <xf numFmtId="0" fontId="5" fillId="25" borderId="20" xfId="71" applyFont="1" applyFill="1" applyBorder="1" applyAlignment="1" applyProtection="1">
      <alignment horizontal="left" indent="1"/>
    </xf>
    <xf numFmtId="0" fontId="5" fillId="25" borderId="0" xfId="71" applyFont="1" applyFill="1" applyBorder="1" applyAlignment="1" applyProtection="1">
      <alignment horizontal="left" indent="1"/>
    </xf>
    <xf numFmtId="0" fontId="5" fillId="25" borderId="38" xfId="71" applyFont="1" applyFill="1" applyBorder="1" applyAlignment="1" applyProtection="1">
      <alignment horizontal="left" indent="1"/>
    </xf>
    <xf numFmtId="0" fontId="4" fillId="0" borderId="37" xfId="71" applyFont="1" applyFill="1" applyBorder="1" applyAlignment="1" applyProtection="1">
      <alignment horizontal="center" vertical="center"/>
    </xf>
    <xf numFmtId="0" fontId="4" fillId="0" borderId="0" xfId="71" applyFont="1" applyFill="1" applyBorder="1" applyAlignment="1" applyProtection="1">
      <alignment horizontal="center" vertical="center"/>
    </xf>
    <xf numFmtId="0" fontId="4" fillId="0" borderId="38" xfId="71" applyFont="1" applyFill="1" applyBorder="1" applyAlignment="1" applyProtection="1">
      <alignment horizontal="center" vertical="center"/>
    </xf>
    <xf numFmtId="1" fontId="43" fillId="2" borderId="42" xfId="208" applyNumberFormat="1" applyFont="1" applyFill="1" applyBorder="1" applyAlignment="1" applyProtection="1">
      <alignment horizontal="center" vertical="center"/>
    </xf>
    <xf numFmtId="1" fontId="43" fillId="2" borderId="226" xfId="208" applyNumberFormat="1" applyFont="1" applyFill="1" applyBorder="1" applyAlignment="1" applyProtection="1">
      <alignment horizontal="center" vertical="center"/>
    </xf>
    <xf numFmtId="1" fontId="2" fillId="0" borderId="0" xfId="208" applyNumberFormat="1" applyFont="1" applyBorder="1" applyAlignment="1" applyProtection="1">
      <alignment horizontal="center" vertical="center" wrapText="1"/>
      <protection locked="0"/>
    </xf>
    <xf numFmtId="0" fontId="43" fillId="0" borderId="0" xfId="208" applyFont="1" applyBorder="1" applyAlignment="1" applyProtection="1">
      <alignment horizontal="center" vertical="center"/>
      <protection locked="0"/>
    </xf>
    <xf numFmtId="0" fontId="43" fillId="0" borderId="19" xfId="208" applyFont="1" applyBorder="1" applyAlignment="1" applyProtection="1">
      <alignment horizontal="center" vertical="center"/>
      <protection locked="0"/>
    </xf>
    <xf numFmtId="0" fontId="43" fillId="25" borderId="34" xfId="208" applyFont="1" applyFill="1" applyBorder="1" applyAlignment="1" applyProtection="1">
      <alignment horizontal="center" vertical="center"/>
    </xf>
    <xf numFmtId="0" fontId="43" fillId="25" borderId="137" xfId="208" applyFont="1" applyFill="1" applyBorder="1" applyAlignment="1" applyProtection="1">
      <alignment horizontal="center" vertical="center"/>
    </xf>
    <xf numFmtId="167" fontId="2" fillId="0" borderId="34" xfId="208" applyNumberFormat="1" applyFont="1" applyBorder="1" applyAlignment="1" applyProtection="1">
      <alignment horizontal="left" vertical="center"/>
      <protection locked="0"/>
    </xf>
    <xf numFmtId="167" fontId="2" fillId="0" borderId="35" xfId="208" applyNumberFormat="1" applyFont="1" applyBorder="1" applyAlignment="1" applyProtection="1">
      <alignment horizontal="left" vertical="center"/>
      <protection locked="0"/>
    </xf>
    <xf numFmtId="167" fontId="2" fillId="0" borderId="36" xfId="208" applyNumberFormat="1" applyFont="1" applyBorder="1" applyAlignment="1" applyProtection="1">
      <alignment horizontal="left" vertical="center"/>
      <protection locked="0"/>
    </xf>
    <xf numFmtId="0" fontId="2" fillId="0" borderId="32" xfId="208" applyFont="1" applyFill="1" applyBorder="1" applyAlignment="1" applyProtection="1">
      <alignment horizontal="center" vertical="center"/>
      <protection locked="0"/>
    </xf>
    <xf numFmtId="0" fontId="2" fillId="0" borderId="42" xfId="208" applyFont="1" applyFill="1" applyBorder="1" applyAlignment="1" applyProtection="1">
      <alignment horizontal="center" vertical="center"/>
      <protection locked="0"/>
    </xf>
    <xf numFmtId="0" fontId="2" fillId="0" borderId="226" xfId="208" applyFont="1" applyFill="1" applyBorder="1" applyAlignment="1" applyProtection="1">
      <alignment horizontal="center" vertical="center"/>
      <protection locked="0"/>
    </xf>
    <xf numFmtId="0" fontId="129" fillId="0" borderId="165" xfId="208" applyFont="1" applyBorder="1" applyAlignment="1" applyProtection="1">
      <alignment horizontal="center" vertical="center" wrapText="1"/>
    </xf>
    <xf numFmtId="0" fontId="129" fillId="0" borderId="166" xfId="208" applyFont="1" applyBorder="1" applyAlignment="1" applyProtection="1">
      <alignment horizontal="center" vertical="center" wrapText="1"/>
    </xf>
    <xf numFmtId="0" fontId="129" fillId="0" borderId="212" xfId="208" applyFont="1" applyBorder="1" applyAlignment="1" applyProtection="1">
      <alignment horizontal="center" vertical="center" wrapText="1"/>
    </xf>
    <xf numFmtId="0" fontId="2" fillId="0" borderId="20" xfId="208" applyFont="1" applyBorder="1" applyAlignment="1" applyProtection="1">
      <alignment horizontal="center" vertical="center" wrapText="1"/>
      <protection locked="0"/>
    </xf>
    <xf numFmtId="0" fontId="2" fillId="0" borderId="0" xfId="208" applyFont="1" applyBorder="1" applyAlignment="1" applyProtection="1">
      <alignment horizontal="center" vertical="center" wrapText="1"/>
      <protection locked="0"/>
    </xf>
    <xf numFmtId="0" fontId="2" fillId="0" borderId="188" xfId="208" applyFont="1" applyBorder="1" applyAlignment="1" applyProtection="1">
      <alignment horizontal="center" vertical="center" wrapText="1"/>
      <protection locked="0"/>
    </xf>
    <xf numFmtId="1" fontId="2" fillId="0" borderId="20" xfId="208" applyNumberFormat="1" applyFont="1" applyBorder="1" applyAlignment="1" applyProtection="1">
      <alignment horizontal="center" vertical="center" wrapText="1"/>
      <protection locked="0"/>
    </xf>
    <xf numFmtId="1" fontId="2" fillId="0" borderId="188" xfId="208" applyNumberFormat="1" applyFont="1" applyBorder="1" applyAlignment="1" applyProtection="1">
      <alignment horizontal="center" vertical="center" wrapText="1"/>
      <protection locked="0"/>
    </xf>
    <xf numFmtId="0" fontId="2" fillId="25" borderId="20" xfId="208" applyFont="1" applyFill="1" applyBorder="1" applyAlignment="1" applyProtection="1">
      <alignment horizontal="center" vertical="center" wrapText="1"/>
    </xf>
    <xf numFmtId="0" fontId="2" fillId="25" borderId="154" xfId="208" applyFont="1" applyFill="1" applyBorder="1" applyAlignment="1" applyProtection="1">
      <alignment horizontal="center" vertical="center" wrapText="1"/>
    </xf>
    <xf numFmtId="1" fontId="135" fillId="0" borderId="11" xfId="208" applyNumberFormat="1" applyFont="1" applyBorder="1" applyAlignment="1" applyProtection="1">
      <alignment horizontal="center" vertical="center" wrapText="1"/>
      <protection locked="0"/>
    </xf>
    <xf numFmtId="0" fontId="43" fillId="25" borderId="14" xfId="208" applyFont="1" applyFill="1" applyBorder="1" applyAlignment="1" applyProtection="1">
      <alignment horizontal="center" vertical="center"/>
    </xf>
    <xf numFmtId="0" fontId="43" fillId="25" borderId="13" xfId="208" applyFont="1" applyFill="1" applyBorder="1" applyAlignment="1" applyProtection="1">
      <alignment horizontal="center" vertical="center"/>
    </xf>
    <xf numFmtId="0" fontId="43" fillId="25" borderId="105" xfId="208" applyFont="1" applyFill="1" applyBorder="1" applyAlignment="1" applyProtection="1">
      <alignment horizontal="center" vertical="center"/>
    </xf>
    <xf numFmtId="0" fontId="5" fillId="25" borderId="45" xfId="71" applyFont="1" applyFill="1" applyBorder="1" applyAlignment="1" applyProtection="1">
      <alignment horizontal="left" vertical="center" indent="1"/>
    </xf>
    <xf numFmtId="0" fontId="5" fillId="25" borderId="46" xfId="71" applyFont="1" applyFill="1" applyBorder="1" applyAlignment="1" applyProtection="1">
      <alignment horizontal="left" vertical="center" indent="1"/>
    </xf>
    <xf numFmtId="0" fontId="5" fillId="25" borderId="48" xfId="71" applyFont="1" applyFill="1" applyBorder="1" applyAlignment="1" applyProtection="1">
      <alignment horizontal="left" vertical="center" indent="1"/>
    </xf>
    <xf numFmtId="0" fontId="2" fillId="0" borderId="300" xfId="208" applyFont="1" applyBorder="1" applyAlignment="1" applyProtection="1">
      <alignment horizontal="center"/>
    </xf>
    <xf numFmtId="0" fontId="2" fillId="0" borderId="298" xfId="208" applyFont="1" applyBorder="1" applyAlignment="1" applyProtection="1">
      <alignment horizontal="center"/>
    </xf>
    <xf numFmtId="0" fontId="2" fillId="0" borderId="297" xfId="208" applyFont="1" applyBorder="1" applyAlignment="1" applyProtection="1">
      <alignment horizontal="center"/>
    </xf>
    <xf numFmtId="167" fontId="43" fillId="2" borderId="298" xfId="208" applyNumberFormat="1" applyFont="1" applyFill="1" applyBorder="1" applyAlignment="1" applyProtection="1">
      <alignment horizontal="center" vertical="center" wrapText="1"/>
    </xf>
    <xf numFmtId="167" fontId="43" fillId="2" borderId="297" xfId="208" applyNumberFormat="1" applyFont="1" applyFill="1" applyBorder="1" applyAlignment="1" applyProtection="1">
      <alignment horizontal="center" vertical="center" wrapText="1"/>
    </xf>
    <xf numFmtId="0" fontId="16" fillId="25" borderId="0" xfId="208" applyFont="1" applyFill="1" applyBorder="1" applyAlignment="1" applyProtection="1">
      <alignment horizontal="center" vertical="center" wrapText="1"/>
    </xf>
    <xf numFmtId="0" fontId="16" fillId="25" borderId="38" xfId="208" applyFont="1" applyFill="1" applyBorder="1" applyAlignment="1" applyProtection="1">
      <alignment horizontal="center" vertical="center" wrapText="1"/>
    </xf>
    <xf numFmtId="0" fontId="16" fillId="25" borderId="40" xfId="208" applyFont="1" applyFill="1" applyBorder="1" applyAlignment="1" applyProtection="1">
      <alignment horizontal="center" vertical="center" wrapText="1"/>
    </xf>
    <xf numFmtId="0" fontId="16" fillId="25" borderId="41" xfId="208" applyFont="1" applyFill="1" applyBorder="1" applyAlignment="1" applyProtection="1">
      <alignment horizontal="center" vertical="center" wrapText="1"/>
    </xf>
    <xf numFmtId="0" fontId="2" fillId="0" borderId="0" xfId="208" applyFont="1" applyBorder="1" applyAlignment="1" applyProtection="1">
      <alignment horizontal="center" vertical="center"/>
    </xf>
    <xf numFmtId="0" fontId="43" fillId="0" borderId="6" xfId="208" applyFont="1" applyBorder="1" applyAlignment="1" applyProtection="1">
      <alignment horizontal="center" vertical="center"/>
      <protection locked="0"/>
    </xf>
    <xf numFmtId="0" fontId="2" fillId="0" borderId="35" xfId="208" applyFont="1" applyBorder="1" applyAlignment="1" applyProtection="1">
      <alignment horizontal="left" vertical="center"/>
    </xf>
    <xf numFmtId="0" fontId="2" fillId="0" borderId="0" xfId="208" applyFont="1" applyBorder="1" applyAlignment="1" applyProtection="1">
      <alignment horizontal="left" vertical="center"/>
    </xf>
    <xf numFmtId="0" fontId="5" fillId="27" borderId="99" xfId="71" applyFont="1" applyFill="1" applyBorder="1" applyAlignment="1" applyProtection="1">
      <alignment horizontal="left" vertical="top" wrapText="1"/>
    </xf>
    <xf numFmtId="0" fontId="5" fillId="27" borderId="35" xfId="71" applyFont="1" applyFill="1" applyBorder="1" applyAlignment="1" applyProtection="1">
      <alignment horizontal="left" vertical="top" wrapText="1"/>
    </xf>
    <xf numFmtId="0" fontId="43" fillId="2" borderId="20" xfId="208" applyFont="1" applyFill="1" applyBorder="1" applyAlignment="1" applyProtection="1">
      <alignment horizontal="center" vertical="center" wrapText="1"/>
    </xf>
    <xf numFmtId="0" fontId="43" fillId="2" borderId="188" xfId="208" applyFont="1" applyFill="1" applyBorder="1" applyAlignment="1" applyProtection="1">
      <alignment horizontal="center" vertical="center" wrapText="1"/>
    </xf>
    <xf numFmtId="0" fontId="2" fillId="0" borderId="221" xfId="208" applyFont="1" applyBorder="1" applyAlignment="1" applyProtection="1">
      <alignment horizontal="center" vertical="center"/>
    </xf>
    <xf numFmtId="0" fontId="2" fillId="0" borderId="42" xfId="208" applyFont="1" applyBorder="1" applyAlignment="1" applyProtection="1">
      <alignment horizontal="center" vertical="center"/>
    </xf>
    <xf numFmtId="1" fontId="43" fillId="2" borderId="43" xfId="208" applyNumberFormat="1" applyFont="1" applyFill="1" applyBorder="1" applyAlignment="1" applyProtection="1">
      <alignment horizontal="center" vertical="center"/>
    </xf>
    <xf numFmtId="0" fontId="2" fillId="0" borderId="32" xfId="208" applyFont="1" applyBorder="1" applyAlignment="1" applyProtection="1">
      <alignment horizontal="center" vertical="center"/>
    </xf>
    <xf numFmtId="0" fontId="2" fillId="27" borderId="35" xfId="71" applyFont="1" applyFill="1" applyBorder="1" applyAlignment="1" applyProtection="1">
      <alignment horizontal="center" vertical="top" wrapText="1"/>
      <protection locked="0"/>
    </xf>
    <xf numFmtId="0" fontId="2" fillId="27" borderId="137" xfId="71" applyFont="1" applyFill="1" applyBorder="1" applyAlignment="1" applyProtection="1">
      <alignment horizontal="center" vertical="top" wrapText="1"/>
      <protection locked="0"/>
    </xf>
    <xf numFmtId="167" fontId="2" fillId="0" borderId="37" xfId="208" applyNumberFormat="1" applyFont="1" applyBorder="1" applyAlignment="1" applyProtection="1">
      <alignment horizontal="left" vertical="center"/>
      <protection locked="0"/>
    </xf>
    <xf numFmtId="167" fontId="2" fillId="0" borderId="0" xfId="208" applyNumberFormat="1" applyFont="1" applyBorder="1" applyAlignment="1" applyProtection="1">
      <alignment horizontal="left" vertical="center"/>
      <protection locked="0"/>
    </xf>
    <xf numFmtId="167" fontId="2" fillId="0" borderId="38" xfId="208" applyNumberFormat="1" applyFont="1" applyBorder="1" applyAlignment="1" applyProtection="1">
      <alignment horizontal="left" vertical="center"/>
      <protection locked="0"/>
    </xf>
    <xf numFmtId="0" fontId="43" fillId="29" borderId="12" xfId="208" applyFont="1" applyFill="1" applyBorder="1" applyAlignment="1" applyProtection="1">
      <alignment horizontal="center" vertical="center"/>
    </xf>
    <xf numFmtId="0" fontId="43" fillId="29" borderId="11" xfId="208" applyFont="1" applyFill="1" applyBorder="1" applyAlignment="1" applyProtection="1">
      <alignment horizontal="center" vertical="center"/>
    </xf>
    <xf numFmtId="0" fontId="43" fillId="29" borderId="10" xfId="208" applyFont="1" applyFill="1" applyBorder="1" applyAlignment="1" applyProtection="1">
      <alignment horizontal="center" vertical="center"/>
    </xf>
    <xf numFmtId="167" fontId="129" fillId="0" borderId="39" xfId="208" applyNumberFormat="1" applyFont="1" applyBorder="1" applyAlignment="1" applyProtection="1">
      <alignment horizontal="center" vertical="center" wrapText="1"/>
      <protection locked="0"/>
    </xf>
    <xf numFmtId="167" fontId="129" fillId="0" borderId="40" xfId="208" applyNumberFormat="1" applyFont="1" applyBorder="1" applyAlignment="1" applyProtection="1">
      <alignment horizontal="center" vertical="center" wrapText="1"/>
      <protection locked="0"/>
    </xf>
    <xf numFmtId="167" fontId="129" fillId="0" borderId="155" xfId="208" applyNumberFormat="1" applyFont="1" applyBorder="1" applyAlignment="1" applyProtection="1">
      <alignment horizontal="center" vertical="center" wrapText="1"/>
      <protection locked="0"/>
    </xf>
    <xf numFmtId="1" fontId="129" fillId="0" borderId="34" xfId="208" applyNumberFormat="1" applyFont="1" applyBorder="1" applyAlignment="1" applyProtection="1">
      <alignment horizontal="center" vertical="center"/>
    </xf>
    <xf numFmtId="1" fontId="129" fillId="0" borderId="35" xfId="208" applyNumberFormat="1" applyFont="1" applyBorder="1" applyAlignment="1" applyProtection="1">
      <alignment horizontal="center" vertical="center"/>
    </xf>
    <xf numFmtId="1" fontId="129" fillId="0" borderId="36" xfId="208" applyNumberFormat="1" applyFont="1" applyBorder="1" applyAlignment="1" applyProtection="1">
      <alignment horizontal="center" vertical="center"/>
    </xf>
    <xf numFmtId="1" fontId="129" fillId="0" borderId="39" xfId="208" applyNumberFormat="1" applyFont="1" applyBorder="1" applyAlignment="1" applyProtection="1">
      <alignment horizontal="center" vertical="center" wrapText="1"/>
      <protection locked="0"/>
    </xf>
    <xf numFmtId="1" fontId="129" fillId="0" borderId="40" xfId="208" applyNumberFormat="1" applyFont="1" applyBorder="1" applyAlignment="1" applyProtection="1">
      <alignment horizontal="center" vertical="center" wrapText="1"/>
      <protection locked="0"/>
    </xf>
    <xf numFmtId="1" fontId="129" fillId="0" borderId="41" xfId="208" applyNumberFormat="1" applyFont="1" applyBorder="1" applyAlignment="1" applyProtection="1">
      <alignment horizontal="center" vertical="center" wrapText="1"/>
      <protection locked="0"/>
    </xf>
    <xf numFmtId="1" fontId="129" fillId="0" borderId="34" xfId="208" applyNumberFormat="1" applyFont="1" applyBorder="1" applyAlignment="1" applyProtection="1">
      <alignment horizontal="center" vertical="center" wrapText="1"/>
    </xf>
    <xf numFmtId="1" fontId="129" fillId="0" borderId="35" xfId="208" applyNumberFormat="1" applyFont="1" applyBorder="1" applyAlignment="1" applyProtection="1">
      <alignment horizontal="center" vertical="center" wrapText="1"/>
    </xf>
    <xf numFmtId="1" fontId="129" fillId="0" borderId="36" xfId="208" applyNumberFormat="1" applyFont="1" applyBorder="1" applyAlignment="1" applyProtection="1">
      <alignment horizontal="center" vertical="center" wrapText="1"/>
    </xf>
    <xf numFmtId="0" fontId="1" fillId="0" borderId="32" xfId="208" applyBorder="1" applyAlignment="1" applyProtection="1">
      <alignment horizontal="center"/>
      <protection locked="0"/>
    </xf>
    <xf numFmtId="0" fontId="1" fillId="0" borderId="42" xfId="208" applyBorder="1" applyAlignment="1" applyProtection="1">
      <alignment horizontal="center"/>
      <protection locked="0"/>
    </xf>
    <xf numFmtId="0" fontId="1" fillId="0" borderId="226" xfId="208" applyBorder="1" applyAlignment="1" applyProtection="1">
      <alignment horizontal="center"/>
      <protection locked="0"/>
    </xf>
    <xf numFmtId="167" fontId="2" fillId="0" borderId="99" xfId="208" applyNumberFormat="1" applyFont="1" applyBorder="1" applyAlignment="1" applyProtection="1">
      <alignment horizontal="left" vertical="center"/>
    </xf>
    <xf numFmtId="167" fontId="2" fillId="0" borderId="35" xfId="208" applyNumberFormat="1" applyFont="1" applyBorder="1" applyAlignment="1" applyProtection="1">
      <alignment horizontal="left" vertical="center"/>
    </xf>
    <xf numFmtId="167" fontId="2" fillId="0" borderId="36" xfId="208" applyNumberFormat="1" applyFont="1" applyBorder="1" applyAlignment="1" applyProtection="1">
      <alignment horizontal="left" vertical="center"/>
    </xf>
    <xf numFmtId="167" fontId="2" fillId="0" borderId="20" xfId="208" applyNumberFormat="1" applyFont="1" applyBorder="1" applyAlignment="1" applyProtection="1">
      <alignment horizontal="left" vertical="center"/>
    </xf>
    <xf numFmtId="167" fontId="2" fillId="0" borderId="0" xfId="208" applyNumberFormat="1" applyFont="1" applyBorder="1" applyAlignment="1" applyProtection="1">
      <alignment horizontal="left" vertical="center"/>
    </xf>
    <xf numFmtId="167" fontId="2" fillId="0" borderId="38" xfId="208" applyNumberFormat="1" applyFont="1" applyBorder="1" applyAlignment="1" applyProtection="1">
      <alignment horizontal="left" vertical="center"/>
    </xf>
    <xf numFmtId="0" fontId="43" fillId="29" borderId="221" xfId="208" applyFont="1" applyFill="1" applyBorder="1" applyAlignment="1" applyProtection="1">
      <alignment horizontal="center" vertical="center"/>
    </xf>
    <xf numFmtId="0" fontId="43" fillId="29" borderId="42" xfId="208" applyFont="1" applyFill="1" applyBorder="1" applyAlignment="1" applyProtection="1">
      <alignment horizontal="center" vertical="center"/>
    </xf>
    <xf numFmtId="0" fontId="43" fillId="29" borderId="226" xfId="208" applyFont="1" applyFill="1" applyBorder="1" applyAlignment="1" applyProtection="1">
      <alignment horizontal="center" vertical="center"/>
    </xf>
    <xf numFmtId="1" fontId="2" fillId="0" borderId="326" xfId="208" applyNumberFormat="1" applyFont="1" applyBorder="1" applyAlignment="1" applyProtection="1">
      <alignment horizontal="center"/>
      <protection locked="0"/>
    </xf>
    <xf numFmtId="0" fontId="2" fillId="0" borderId="326" xfId="208" applyFont="1" applyBorder="1" applyAlignment="1" applyProtection="1">
      <alignment horizontal="center"/>
      <protection locked="0"/>
    </xf>
    <xf numFmtId="0" fontId="2" fillId="0" borderId="327" xfId="208" applyFont="1" applyBorder="1" applyAlignment="1" applyProtection="1">
      <alignment horizontal="center"/>
      <protection locked="0"/>
    </xf>
    <xf numFmtId="0" fontId="2" fillId="0" borderId="53" xfId="208" applyFont="1" applyBorder="1" applyAlignment="1" applyProtection="1">
      <alignment horizontal="center" vertical="center"/>
      <protection locked="0"/>
    </xf>
    <xf numFmtId="0" fontId="2" fillId="0" borderId="56" xfId="208" applyFont="1" applyBorder="1" applyAlignment="1" applyProtection="1">
      <alignment horizontal="center" vertical="center"/>
      <protection locked="0"/>
    </xf>
    <xf numFmtId="0" fontId="2" fillId="0" borderId="99" xfId="208" applyFont="1" applyBorder="1" applyAlignment="1" applyProtection="1">
      <alignment horizontal="left" vertical="center"/>
    </xf>
    <xf numFmtId="0" fontId="2" fillId="0" borderId="20" xfId="208" applyFont="1" applyBorder="1" applyAlignment="1" applyProtection="1">
      <alignment horizontal="left" vertical="center"/>
    </xf>
    <xf numFmtId="0" fontId="2" fillId="41" borderId="16" xfId="208" applyFont="1" applyFill="1" applyBorder="1" applyAlignment="1" applyProtection="1">
      <alignment horizontal="left"/>
    </xf>
    <xf numFmtId="0" fontId="2" fillId="41" borderId="17" xfId="208" applyFont="1" applyFill="1" applyBorder="1" applyAlignment="1" applyProtection="1">
      <alignment horizontal="left"/>
    </xf>
    <xf numFmtId="168" fontId="2" fillId="27" borderId="0" xfId="208" applyNumberFormat="1" applyFont="1" applyFill="1" applyBorder="1" applyAlignment="1" applyProtection="1">
      <alignment horizontal="left" vertical="center"/>
      <protection locked="0"/>
    </xf>
    <xf numFmtId="168" fontId="2" fillId="27" borderId="19" xfId="208" applyNumberFormat="1" applyFont="1" applyFill="1" applyBorder="1" applyAlignment="1" applyProtection="1">
      <alignment horizontal="left" vertical="center"/>
      <protection locked="0"/>
    </xf>
    <xf numFmtId="0" fontId="4" fillId="2" borderId="228" xfId="208" applyFont="1" applyFill="1" applyBorder="1" applyAlignment="1" applyProtection="1">
      <alignment horizontal="center" vertical="center"/>
      <protection locked="0"/>
    </xf>
    <xf numFmtId="0" fontId="4" fillId="2" borderId="181" xfId="208" applyFont="1" applyFill="1" applyBorder="1" applyAlignment="1" applyProtection="1">
      <alignment horizontal="center" vertical="center"/>
      <protection locked="0"/>
    </xf>
    <xf numFmtId="0" fontId="4" fillId="2" borderId="182" xfId="208" applyFont="1" applyFill="1" applyBorder="1" applyAlignment="1" applyProtection="1">
      <alignment horizontal="center" vertical="center"/>
      <protection locked="0"/>
    </xf>
    <xf numFmtId="0" fontId="4" fillId="2" borderId="11" xfId="208" applyFont="1" applyFill="1" applyBorder="1" applyAlignment="1" applyProtection="1">
      <alignment horizontal="center" vertical="center"/>
      <protection locked="0"/>
    </xf>
    <xf numFmtId="167" fontId="4" fillId="2" borderId="10" xfId="208" applyNumberFormat="1" applyFont="1" applyFill="1" applyBorder="1" applyAlignment="1" applyProtection="1">
      <alignment horizontal="center" vertical="center"/>
      <protection locked="0"/>
    </xf>
    <xf numFmtId="167" fontId="4" fillId="2" borderId="57" xfId="208" applyNumberFormat="1" applyFont="1" applyFill="1" applyBorder="1" applyAlignment="1" applyProtection="1">
      <alignment horizontal="center" vertical="center"/>
      <protection locked="0"/>
    </xf>
    <xf numFmtId="167" fontId="4" fillId="0" borderId="14" xfId="208" applyNumberFormat="1" applyFont="1" applyBorder="1" applyAlignment="1" applyProtection="1">
      <alignment horizontal="center" vertical="center"/>
      <protection locked="0"/>
    </xf>
    <xf numFmtId="167" fontId="4" fillId="0" borderId="13" xfId="208" applyNumberFormat="1" applyFont="1" applyBorder="1" applyAlignment="1" applyProtection="1">
      <alignment horizontal="center" vertical="center"/>
      <protection locked="0"/>
    </xf>
    <xf numFmtId="167" fontId="4" fillId="0" borderId="18" xfId="208" applyNumberFormat="1" applyFont="1" applyBorder="1" applyAlignment="1" applyProtection="1">
      <alignment horizontal="center" vertical="center"/>
      <protection locked="0"/>
    </xf>
    <xf numFmtId="0" fontId="45" fillId="25" borderId="157" xfId="68" applyFont="1" applyFill="1" applyBorder="1" applyAlignment="1" applyProtection="1">
      <alignment horizontal="center" vertical="center"/>
    </xf>
    <xf numFmtId="0" fontId="1" fillId="0" borderId="11" xfId="208" applyFont="1" applyBorder="1" applyAlignment="1" applyProtection="1">
      <alignment horizontal="center" vertical="center"/>
    </xf>
    <xf numFmtId="0" fontId="1" fillId="0" borderId="10" xfId="208" applyFont="1" applyBorder="1" applyAlignment="1" applyProtection="1">
      <alignment horizontal="center" vertical="center"/>
    </xf>
    <xf numFmtId="0" fontId="4" fillId="25" borderId="109" xfId="71" applyFont="1" applyFill="1" applyBorder="1" applyAlignment="1" applyProtection="1">
      <alignment horizontal="center" vertical="center"/>
    </xf>
    <xf numFmtId="0" fontId="4" fillId="25" borderId="13" xfId="71" applyFont="1" applyFill="1" applyBorder="1" applyAlignment="1" applyProtection="1">
      <alignment horizontal="center" vertical="center"/>
    </xf>
    <xf numFmtId="0" fontId="4" fillId="25" borderId="105" xfId="71" applyFont="1" applyFill="1" applyBorder="1" applyAlignment="1" applyProtection="1">
      <alignment horizontal="center" vertical="center"/>
    </xf>
    <xf numFmtId="0" fontId="5" fillId="2" borderId="12" xfId="208" applyFont="1" applyFill="1" applyBorder="1" applyAlignment="1" applyProtection="1">
      <alignment horizontal="left" vertical="center" wrapText="1"/>
    </xf>
    <xf numFmtId="0" fontId="4" fillId="2" borderId="11" xfId="208" applyFont="1" applyFill="1" applyBorder="1" applyAlignment="1" applyProtection="1">
      <alignment horizontal="left" vertical="center" wrapText="1"/>
    </xf>
    <xf numFmtId="0" fontId="4" fillId="2" borderId="20" xfId="208" applyFont="1" applyFill="1" applyBorder="1" applyAlignment="1" applyProtection="1">
      <alignment horizontal="center" vertical="center"/>
      <protection locked="0"/>
    </xf>
    <xf numFmtId="0" fontId="4" fillId="2" borderId="0" xfId="208" applyFont="1" applyFill="1" applyBorder="1" applyAlignment="1" applyProtection="1">
      <alignment horizontal="center" vertical="center"/>
      <protection locked="0"/>
    </xf>
    <xf numFmtId="0" fontId="4" fillId="2" borderId="19" xfId="208" applyFont="1" applyFill="1" applyBorder="1" applyAlignment="1" applyProtection="1">
      <alignment horizontal="center" vertical="center"/>
      <protection locked="0"/>
    </xf>
    <xf numFmtId="167" fontId="4" fillId="0" borderId="11" xfId="208" applyNumberFormat="1" applyFont="1" applyBorder="1" applyAlignment="1" applyProtection="1">
      <alignment horizontal="center" vertical="center"/>
    </xf>
    <xf numFmtId="167" fontId="4" fillId="0" borderId="10" xfId="208" applyNumberFormat="1" applyFont="1" applyBorder="1" applyAlignment="1" applyProtection="1">
      <alignment horizontal="center" vertical="center"/>
    </xf>
    <xf numFmtId="0" fontId="5" fillId="27" borderId="14" xfId="71" applyFont="1" applyFill="1" applyBorder="1" applyAlignment="1" applyProtection="1">
      <alignment horizontal="center" vertical="top" wrapText="1"/>
    </xf>
    <xf numFmtId="0" fontId="5" fillId="27" borderId="13" xfId="71" applyFont="1" applyFill="1" applyBorder="1" applyAlignment="1" applyProtection="1">
      <alignment horizontal="center" vertical="top" wrapText="1"/>
    </xf>
    <xf numFmtId="0" fontId="4" fillId="27" borderId="13" xfId="71" applyFont="1" applyFill="1" applyBorder="1" applyAlignment="1" applyProtection="1">
      <alignment horizontal="center" vertical="top" wrapText="1"/>
      <protection locked="0"/>
    </xf>
    <xf numFmtId="0" fontId="4" fillId="27" borderId="18" xfId="71" applyFont="1" applyFill="1" applyBorder="1" applyAlignment="1" applyProtection="1">
      <alignment horizontal="center" vertical="top" wrapText="1"/>
      <protection locked="0"/>
    </xf>
    <xf numFmtId="0" fontId="5" fillId="25" borderId="14" xfId="208" applyFont="1" applyFill="1" applyBorder="1" applyAlignment="1" applyProtection="1">
      <alignment horizontal="center" vertical="center" wrapText="1"/>
    </xf>
    <xf numFmtId="0" fontId="5" fillId="25" borderId="13" xfId="208" applyFont="1" applyFill="1" applyBorder="1" applyAlignment="1" applyProtection="1">
      <alignment horizontal="center" vertical="center" wrapText="1"/>
    </xf>
    <xf numFmtId="0" fontId="5" fillId="25" borderId="18" xfId="208" applyFont="1" applyFill="1" applyBorder="1" applyAlignment="1" applyProtection="1">
      <alignment horizontal="center" vertical="center" wrapText="1"/>
    </xf>
    <xf numFmtId="0" fontId="5" fillId="25" borderId="0" xfId="208" applyFont="1" applyFill="1" applyBorder="1" applyAlignment="1" applyProtection="1">
      <alignment horizontal="center" vertical="center" wrapText="1"/>
    </xf>
    <xf numFmtId="0" fontId="5" fillId="25" borderId="19" xfId="208" applyFont="1" applyFill="1" applyBorder="1" applyAlignment="1" applyProtection="1">
      <alignment horizontal="center" vertical="center" wrapText="1"/>
    </xf>
    <xf numFmtId="0" fontId="5" fillId="25" borderId="17" xfId="208" applyFont="1" applyFill="1" applyBorder="1" applyAlignment="1" applyProtection="1">
      <alignment horizontal="center" vertical="center" wrapText="1"/>
    </xf>
    <xf numFmtId="0" fontId="5" fillId="25" borderId="15" xfId="208" applyFont="1" applyFill="1" applyBorder="1" applyAlignment="1" applyProtection="1">
      <alignment horizontal="center" vertical="center" wrapText="1"/>
    </xf>
    <xf numFmtId="0" fontId="4" fillId="0" borderId="0" xfId="208" applyFont="1" applyBorder="1" applyAlignment="1" applyProtection="1">
      <alignment horizontal="center" vertical="center"/>
    </xf>
    <xf numFmtId="2" fontId="5" fillId="0" borderId="95" xfId="208" applyNumberFormat="1" applyFont="1" applyBorder="1" applyAlignment="1" applyProtection="1">
      <alignment horizontal="center" vertical="center"/>
    </xf>
    <xf numFmtId="2" fontId="5" fillId="0" borderId="66" xfId="208" applyNumberFormat="1" applyFont="1" applyBorder="1" applyAlignment="1" applyProtection="1">
      <alignment horizontal="center" vertical="center"/>
    </xf>
    <xf numFmtId="2" fontId="5" fillId="0" borderId="96" xfId="208" applyNumberFormat="1" applyFont="1" applyBorder="1" applyAlignment="1" applyProtection="1">
      <alignment horizontal="center" vertical="center"/>
    </xf>
    <xf numFmtId="2" fontId="5" fillId="0" borderId="97" xfId="208" applyNumberFormat="1" applyFont="1" applyBorder="1" applyAlignment="1" applyProtection="1">
      <alignment horizontal="center" vertical="center"/>
    </xf>
    <xf numFmtId="2" fontId="5" fillId="0" borderId="53" xfId="208" applyNumberFormat="1" applyFont="1" applyBorder="1" applyAlignment="1" applyProtection="1">
      <alignment horizontal="center" vertical="center"/>
    </xf>
    <xf numFmtId="2" fontId="5" fillId="0" borderId="98" xfId="208" applyNumberFormat="1" applyFont="1" applyBorder="1" applyAlignment="1" applyProtection="1">
      <alignment horizontal="center" vertical="center"/>
    </xf>
    <xf numFmtId="0" fontId="4" fillId="0" borderId="37" xfId="71" applyFont="1" applyFill="1" applyBorder="1" applyAlignment="1" applyProtection="1">
      <alignment horizontal="center" vertical="center"/>
      <protection locked="0"/>
    </xf>
    <xf numFmtId="0" fontId="4" fillId="0" borderId="0" xfId="71" applyFont="1" applyFill="1" applyBorder="1" applyAlignment="1" applyProtection="1">
      <alignment horizontal="center" vertical="center"/>
      <protection locked="0"/>
    </xf>
    <xf numFmtId="0" fontId="4" fillId="0" borderId="38" xfId="71" applyFont="1" applyFill="1" applyBorder="1" applyAlignment="1" applyProtection="1">
      <alignment horizontal="center" vertical="center"/>
      <protection locked="0"/>
    </xf>
    <xf numFmtId="0" fontId="4" fillId="0" borderId="47" xfId="71" applyFont="1" applyFill="1" applyBorder="1" applyAlignment="1" applyProtection="1">
      <alignment horizontal="center" vertical="center"/>
    </xf>
    <xf numFmtId="0" fontId="4" fillId="0" borderId="46" xfId="71" applyFont="1" applyFill="1" applyBorder="1" applyAlignment="1" applyProtection="1">
      <alignment horizontal="center" vertical="center"/>
    </xf>
    <xf numFmtId="0" fontId="4" fillId="0" borderId="48" xfId="71" applyFont="1" applyFill="1" applyBorder="1" applyAlignment="1" applyProtection="1">
      <alignment horizontal="center" vertical="center"/>
    </xf>
    <xf numFmtId="0" fontId="1" fillId="0" borderId="37" xfId="71" applyFont="1" applyFill="1" applyBorder="1" applyAlignment="1" applyProtection="1">
      <alignment horizontal="center"/>
    </xf>
    <xf numFmtId="0" fontId="1" fillId="0" borderId="38" xfId="71" applyFont="1" applyFill="1" applyBorder="1" applyAlignment="1" applyProtection="1">
      <alignment horizontal="center"/>
    </xf>
    <xf numFmtId="0" fontId="5" fillId="25" borderId="37" xfId="68" applyFont="1" applyFill="1" applyBorder="1" applyAlignment="1" applyProtection="1">
      <alignment horizontal="left" indent="1"/>
    </xf>
    <xf numFmtId="0" fontId="5" fillId="25" borderId="0" xfId="68" applyFont="1" applyFill="1" applyBorder="1" applyAlignment="1" applyProtection="1">
      <alignment horizontal="left" indent="1"/>
    </xf>
    <xf numFmtId="0" fontId="5" fillId="25" borderId="38" xfId="68" applyFont="1" applyFill="1" applyBorder="1" applyAlignment="1" applyProtection="1">
      <alignment horizontal="left" indent="1"/>
    </xf>
    <xf numFmtId="0" fontId="5" fillId="25" borderId="37" xfId="68" applyFont="1" applyFill="1" applyBorder="1" applyAlignment="1" applyProtection="1">
      <alignment horizontal="left" vertical="center" indent="1"/>
    </xf>
    <xf numFmtId="0" fontId="5" fillId="25" borderId="0" xfId="68" applyFont="1" applyFill="1" applyBorder="1" applyAlignment="1" applyProtection="1">
      <alignment horizontal="left" vertical="center" indent="1"/>
    </xf>
    <xf numFmtId="0" fontId="5" fillId="25" borderId="38" xfId="68" applyFont="1" applyFill="1" applyBorder="1" applyAlignment="1" applyProtection="1">
      <alignment horizontal="left" vertical="center" indent="1"/>
    </xf>
    <xf numFmtId="0" fontId="5" fillId="25" borderId="47" xfId="68" applyFont="1" applyFill="1" applyBorder="1" applyAlignment="1" applyProtection="1">
      <alignment horizontal="left" vertical="center" indent="1"/>
    </xf>
    <xf numFmtId="0" fontId="5" fillId="25" borderId="46" xfId="68" applyFont="1" applyFill="1" applyBorder="1" applyAlignment="1" applyProtection="1">
      <alignment horizontal="left" vertical="center" indent="1"/>
    </xf>
    <xf numFmtId="0" fontId="5" fillId="25" borderId="48" xfId="68" applyFont="1" applyFill="1" applyBorder="1" applyAlignment="1" applyProtection="1">
      <alignment horizontal="left" vertical="center" indent="1"/>
    </xf>
    <xf numFmtId="0" fontId="5" fillId="0" borderId="0" xfId="208" applyFont="1" applyBorder="1" applyAlignment="1" applyProtection="1">
      <alignment horizontal="center" vertical="center"/>
    </xf>
    <xf numFmtId="0" fontId="4" fillId="0" borderId="13" xfId="208" applyFont="1" applyBorder="1" applyAlignment="1" applyProtection="1">
      <alignment horizontal="center" vertical="center"/>
    </xf>
    <xf numFmtId="2" fontId="5" fillId="0" borderId="0" xfId="208" applyNumberFormat="1" applyFont="1" applyFill="1" applyBorder="1" applyAlignment="1" applyProtection="1">
      <alignment horizontal="center" vertical="center"/>
    </xf>
    <xf numFmtId="0" fontId="95" fillId="0" borderId="0" xfId="208" applyFont="1" applyBorder="1" applyAlignment="1" applyProtection="1">
      <alignment horizontal="center" vertical="center" wrapText="1"/>
    </xf>
    <xf numFmtId="0" fontId="5" fillId="25" borderId="16" xfId="208" applyFont="1" applyFill="1" applyBorder="1" applyAlignment="1" applyProtection="1">
      <alignment horizontal="center" vertical="center"/>
    </xf>
    <xf numFmtId="0" fontId="5" fillId="25" borderId="17" xfId="208" applyFont="1" applyFill="1" applyBorder="1" applyAlignment="1" applyProtection="1">
      <alignment horizontal="center" vertical="center"/>
    </xf>
    <xf numFmtId="0" fontId="5" fillId="25" borderId="15" xfId="208" applyFont="1" applyFill="1" applyBorder="1" applyAlignment="1" applyProtection="1">
      <alignment horizontal="center" vertical="center"/>
    </xf>
    <xf numFmtId="0" fontId="4" fillId="0" borderId="14" xfId="208" applyFont="1" applyBorder="1" applyAlignment="1" applyProtection="1">
      <alignment horizontal="left" vertical="center"/>
    </xf>
    <xf numFmtId="0" fontId="4" fillId="0" borderId="13" xfId="208" applyFont="1" applyBorder="1" applyAlignment="1" applyProtection="1">
      <alignment horizontal="left" vertical="center"/>
    </xf>
    <xf numFmtId="167" fontId="4" fillId="0" borderId="53" xfId="208" applyNumberFormat="1" applyFont="1" applyBorder="1" applyAlignment="1" applyProtection="1">
      <alignment horizontal="center" vertical="center"/>
      <protection locked="0"/>
    </xf>
    <xf numFmtId="0" fontId="4" fillId="0" borderId="20" xfId="208" applyFont="1" applyBorder="1" applyAlignment="1" applyProtection="1">
      <alignment horizontal="left" vertical="center"/>
    </xf>
    <xf numFmtId="0" fontId="4" fillId="0" borderId="0" xfId="208" applyFont="1" applyBorder="1" applyAlignment="1" applyProtection="1">
      <alignment horizontal="left" vertical="center"/>
    </xf>
    <xf numFmtId="0" fontId="4" fillId="2" borderId="10" xfId="208" applyFont="1" applyFill="1" applyBorder="1" applyAlignment="1" applyProtection="1">
      <alignment horizontal="center" vertical="center"/>
      <protection locked="0"/>
    </xf>
    <xf numFmtId="0" fontId="4" fillId="2" borderId="57" xfId="208" applyFont="1" applyFill="1" applyBorder="1" applyAlignment="1" applyProtection="1">
      <alignment horizontal="center" vertical="center"/>
      <protection locked="0"/>
    </xf>
    <xf numFmtId="0" fontId="5" fillId="2" borderId="14" xfId="208" applyFont="1" applyFill="1" applyBorder="1" applyAlignment="1" applyProtection="1">
      <alignment horizontal="left" vertical="center" wrapText="1"/>
    </xf>
    <xf numFmtId="0" fontId="4" fillId="2" borderId="13" xfId="208" applyFont="1" applyFill="1" applyBorder="1" applyAlignment="1" applyProtection="1">
      <alignment horizontal="left" vertical="center" wrapText="1"/>
    </xf>
    <xf numFmtId="0" fontId="4" fillId="2" borderId="16" xfId="208" applyFont="1" applyFill="1" applyBorder="1" applyAlignment="1" applyProtection="1">
      <alignment horizontal="center" vertical="center"/>
      <protection locked="0"/>
    </xf>
    <xf numFmtId="0" fontId="4" fillId="2" borderId="17" xfId="208" applyFont="1" applyFill="1" applyBorder="1" applyAlignment="1" applyProtection="1">
      <alignment horizontal="center" vertical="center"/>
      <protection locked="0"/>
    </xf>
    <xf numFmtId="0" fontId="4" fillId="2" borderId="189" xfId="208" applyFont="1" applyFill="1" applyBorder="1" applyAlignment="1" applyProtection="1">
      <alignment horizontal="center" vertical="center"/>
      <protection locked="0"/>
    </xf>
    <xf numFmtId="0" fontId="4" fillId="2" borderId="162" xfId="208" applyFont="1" applyFill="1" applyBorder="1" applyAlignment="1" applyProtection="1">
      <alignment horizontal="center" vertical="center"/>
      <protection locked="0"/>
    </xf>
    <xf numFmtId="0" fontId="4" fillId="2" borderId="161" xfId="208" applyFont="1" applyFill="1" applyBorder="1" applyAlignment="1" applyProtection="1">
      <alignment horizontal="center" vertical="center"/>
      <protection locked="0"/>
    </xf>
    <xf numFmtId="0" fontId="4" fillId="2" borderId="163" xfId="208" applyFont="1" applyFill="1" applyBorder="1" applyAlignment="1" applyProtection="1">
      <alignment horizontal="center" vertical="center"/>
      <protection locked="0"/>
    </xf>
    <xf numFmtId="0" fontId="4" fillId="2" borderId="180" xfId="208" applyFont="1" applyFill="1" applyBorder="1" applyAlignment="1" applyProtection="1">
      <alignment horizontal="center" vertical="center"/>
      <protection locked="0"/>
    </xf>
    <xf numFmtId="0" fontId="4" fillId="2" borderId="183" xfId="208" applyFont="1" applyFill="1" applyBorder="1" applyAlignment="1" applyProtection="1">
      <alignment horizontal="center" vertical="center"/>
      <protection locked="0"/>
    </xf>
    <xf numFmtId="0" fontId="155" fillId="0" borderId="16" xfId="211" applyFont="1" applyBorder="1" applyAlignment="1" applyProtection="1">
      <alignment horizontal="center"/>
      <protection locked="0"/>
    </xf>
    <xf numFmtId="0" fontId="155" fillId="0" borderId="17" xfId="211" applyFont="1" applyBorder="1" applyAlignment="1" applyProtection="1">
      <alignment horizontal="center"/>
      <protection locked="0"/>
    </xf>
    <xf numFmtId="0" fontId="155" fillId="0" borderId="15" xfId="211" applyFont="1" applyBorder="1" applyAlignment="1" applyProtection="1">
      <alignment horizontal="center"/>
      <protection locked="0"/>
    </xf>
    <xf numFmtId="0" fontId="5" fillId="25" borderId="20" xfId="208" applyFont="1" applyFill="1" applyBorder="1" applyAlignment="1" applyProtection="1">
      <alignment horizontal="center" vertical="center" wrapText="1"/>
    </xf>
    <xf numFmtId="0" fontId="5" fillId="25" borderId="16" xfId="208" applyFont="1" applyFill="1" applyBorder="1" applyAlignment="1" applyProtection="1">
      <alignment horizontal="center" vertical="center" wrapText="1"/>
    </xf>
    <xf numFmtId="0" fontId="1" fillId="0" borderId="13" xfId="208" applyFont="1" applyBorder="1" applyAlignment="1" applyProtection="1">
      <alignment horizontal="center" vertical="center"/>
    </xf>
    <xf numFmtId="0" fontId="1" fillId="0" borderId="18" xfId="208" applyFont="1" applyBorder="1" applyAlignment="1" applyProtection="1">
      <alignment horizontal="center" vertical="center"/>
    </xf>
    <xf numFmtId="0" fontId="95" fillId="0" borderId="0" xfId="208" applyFont="1" applyFill="1" applyBorder="1" applyAlignment="1" applyProtection="1">
      <alignment horizontal="right" vertical="center"/>
    </xf>
    <xf numFmtId="0" fontId="2" fillId="27" borderId="0" xfId="208" applyFont="1" applyFill="1" applyBorder="1" applyAlignment="1" applyProtection="1">
      <alignment horizontal="left"/>
    </xf>
    <xf numFmtId="0" fontId="2" fillId="0" borderId="40" xfId="208" applyFont="1" applyBorder="1" applyAlignment="1" applyProtection="1">
      <alignment horizontal="left"/>
    </xf>
    <xf numFmtId="0" fontId="43" fillId="0" borderId="17" xfId="208" applyFont="1" applyBorder="1" applyAlignment="1" applyProtection="1">
      <alignment vertical="center"/>
    </xf>
    <xf numFmtId="168" fontId="2" fillId="27" borderId="17" xfId="208" applyNumberFormat="1" applyFont="1" applyFill="1" applyBorder="1" applyAlignment="1" applyProtection="1">
      <alignment horizontal="left" vertical="center"/>
    </xf>
    <xf numFmtId="168" fontId="2" fillId="27" borderId="15" xfId="208" applyNumberFormat="1" applyFont="1" applyFill="1" applyBorder="1" applyAlignment="1" applyProtection="1">
      <alignment horizontal="left" vertical="center"/>
    </xf>
    <xf numFmtId="0" fontId="1" fillId="2" borderId="14" xfId="208" applyFont="1" applyFill="1" applyBorder="1" applyAlignment="1" applyProtection="1">
      <alignment horizontal="center"/>
    </xf>
    <xf numFmtId="0" fontId="1" fillId="2" borderId="13" xfId="208" applyFont="1" applyFill="1" applyBorder="1" applyAlignment="1" applyProtection="1">
      <alignment horizontal="center"/>
    </xf>
    <xf numFmtId="0" fontId="1" fillId="2" borderId="105" xfId="208" applyFont="1" applyFill="1" applyBorder="1" applyAlignment="1" applyProtection="1">
      <alignment horizontal="center"/>
    </xf>
    <xf numFmtId="0" fontId="1" fillId="2" borderId="20" xfId="208" applyFont="1" applyFill="1" applyBorder="1" applyAlignment="1" applyProtection="1">
      <alignment horizontal="center"/>
    </xf>
    <xf numFmtId="0" fontId="1" fillId="2" borderId="0" xfId="208" applyFont="1" applyFill="1" applyBorder="1" applyAlignment="1" applyProtection="1">
      <alignment horizontal="center"/>
    </xf>
    <xf numFmtId="0" fontId="1" fillId="2" borderId="38" xfId="208" applyFont="1" applyFill="1" applyBorder="1" applyAlignment="1" applyProtection="1">
      <alignment horizontal="center"/>
    </xf>
    <xf numFmtId="0" fontId="1" fillId="2" borderId="154" xfId="208" applyFont="1" applyFill="1" applyBorder="1" applyAlignment="1" applyProtection="1">
      <alignment horizontal="center"/>
    </xf>
    <xf numFmtId="0" fontId="1" fillId="2" borderId="40" xfId="208" applyFont="1" applyFill="1" applyBorder="1" applyAlignment="1" applyProtection="1">
      <alignment horizontal="center"/>
    </xf>
    <xf numFmtId="0" fontId="1" fillId="2" borderId="41" xfId="208" applyFont="1" applyFill="1" applyBorder="1" applyAlignment="1" applyProtection="1">
      <alignment horizontal="center"/>
    </xf>
    <xf numFmtId="0" fontId="5" fillId="2" borderId="109" xfId="208" applyFont="1" applyFill="1" applyBorder="1" applyAlignment="1" applyProtection="1">
      <alignment horizontal="center" vertical="center"/>
    </xf>
    <xf numFmtId="0" fontId="5" fillId="2" borderId="13" xfId="208" applyFont="1" applyFill="1" applyBorder="1" applyAlignment="1" applyProtection="1">
      <alignment horizontal="center" vertical="center"/>
    </xf>
    <xf numFmtId="0" fontId="5" fillId="2" borderId="18" xfId="208" applyFont="1" applyFill="1" applyBorder="1" applyAlignment="1" applyProtection="1">
      <alignment horizontal="center" vertical="center"/>
    </xf>
    <xf numFmtId="0" fontId="5" fillId="2" borderId="37" xfId="208" applyFont="1" applyFill="1" applyBorder="1" applyAlignment="1" applyProtection="1">
      <alignment horizontal="center" vertical="center" wrapText="1"/>
    </xf>
    <xf numFmtId="0" fontId="5" fillId="2" borderId="0" xfId="208" applyFont="1" applyFill="1" applyBorder="1" applyAlignment="1" applyProtection="1">
      <alignment horizontal="center" vertical="center" wrapText="1"/>
    </xf>
    <xf numFmtId="0" fontId="5" fillId="2" borderId="19" xfId="208" applyFont="1" applyFill="1" applyBorder="1" applyAlignment="1" applyProtection="1">
      <alignment horizontal="center" vertical="center" wrapText="1"/>
    </xf>
    <xf numFmtId="0" fontId="5" fillId="2" borderId="37" xfId="208" applyFont="1" applyFill="1" applyBorder="1" applyAlignment="1" applyProtection="1">
      <alignment horizontal="center" vertical="center"/>
    </xf>
    <xf numFmtId="0" fontId="5" fillId="2" borderId="0" xfId="208" applyFont="1" applyFill="1" applyBorder="1" applyAlignment="1" applyProtection="1">
      <alignment horizontal="center" vertical="center"/>
    </xf>
    <xf numFmtId="0" fontId="5" fillId="2" borderId="19" xfId="208" applyFont="1" applyFill="1" applyBorder="1" applyAlignment="1" applyProtection="1">
      <alignment horizontal="center" vertical="center"/>
    </xf>
    <xf numFmtId="0" fontId="140" fillId="2" borderId="32" xfId="208" applyFont="1" applyFill="1" applyBorder="1" applyAlignment="1" applyProtection="1">
      <alignment horizontal="left" vertical="center" wrapText="1"/>
    </xf>
    <xf numFmtId="0" fontId="140" fillId="2" borderId="42" xfId="208" applyFont="1" applyFill="1" applyBorder="1" applyAlignment="1" applyProtection="1">
      <alignment horizontal="left" vertical="center" wrapText="1"/>
    </xf>
    <xf numFmtId="0" fontId="140" fillId="2" borderId="43" xfId="208" applyFont="1" applyFill="1" applyBorder="1" applyAlignment="1" applyProtection="1">
      <alignment horizontal="left" vertical="center" wrapText="1"/>
    </xf>
    <xf numFmtId="0" fontId="140" fillId="2" borderId="226" xfId="208" applyFont="1" applyFill="1" applyBorder="1" applyAlignment="1" applyProtection="1">
      <alignment horizontal="left" vertical="center" wrapText="1"/>
    </xf>
    <xf numFmtId="0" fontId="140" fillId="0" borderId="32" xfId="208" applyFont="1" applyBorder="1" applyAlignment="1" applyProtection="1">
      <alignment horizontal="left" vertical="center"/>
    </xf>
    <xf numFmtId="0" fontId="140" fillId="0" borderId="42" xfId="208" applyFont="1" applyBorder="1" applyAlignment="1" applyProtection="1">
      <alignment horizontal="left" vertical="center"/>
    </xf>
    <xf numFmtId="0" fontId="140" fillId="0" borderId="226" xfId="208" applyFont="1" applyBorder="1" applyAlignment="1" applyProtection="1">
      <alignment horizontal="left" vertical="center"/>
    </xf>
    <xf numFmtId="0" fontId="43" fillId="27" borderId="0" xfId="208" applyFont="1" applyFill="1" applyBorder="1" applyAlignment="1" applyProtection="1">
      <alignment horizontal="right"/>
    </xf>
    <xf numFmtId="0" fontId="43" fillId="27" borderId="154" xfId="208" applyFont="1" applyFill="1" applyBorder="1" applyAlignment="1" applyProtection="1">
      <alignment vertical="center"/>
    </xf>
    <xf numFmtId="0" fontId="43" fillId="27" borderId="40" xfId="208" applyFont="1" applyFill="1" applyBorder="1" applyAlignment="1" applyProtection="1">
      <alignment vertical="center"/>
    </xf>
    <xf numFmtId="0" fontId="2" fillId="27" borderId="35" xfId="208" applyFont="1" applyFill="1" applyBorder="1" applyAlignment="1" applyProtection="1">
      <alignment horizontal="left"/>
    </xf>
    <xf numFmtId="168" fontId="2" fillId="27" borderId="0" xfId="208" applyNumberFormat="1" applyFont="1" applyFill="1" applyBorder="1" applyAlignment="1" applyProtection="1">
      <alignment horizontal="left" vertical="center"/>
    </xf>
    <xf numFmtId="168" fontId="2" fillId="27" borderId="19" xfId="208" applyNumberFormat="1" applyFont="1" applyFill="1" applyBorder="1" applyAlignment="1" applyProtection="1">
      <alignment horizontal="left" vertical="center"/>
    </xf>
    <xf numFmtId="0" fontId="2" fillId="27" borderId="13" xfId="68" applyFont="1" applyFill="1" applyBorder="1" applyAlignment="1" applyProtection="1">
      <alignment horizontal="left" vertical="center"/>
    </xf>
    <xf numFmtId="0" fontId="140" fillId="0" borderId="20" xfId="71" applyFont="1" applyBorder="1" applyAlignment="1" applyProtection="1">
      <alignment horizontal="left" vertical="center"/>
    </xf>
    <xf numFmtId="0" fontId="140" fillId="0" borderId="0" xfId="71" applyFont="1" applyBorder="1" applyAlignment="1" applyProtection="1">
      <alignment horizontal="left" vertical="center"/>
    </xf>
    <xf numFmtId="0" fontId="140" fillId="0" borderId="19" xfId="71" applyFont="1" applyBorder="1" applyAlignment="1" applyProtection="1">
      <alignment horizontal="left" vertical="center"/>
    </xf>
    <xf numFmtId="0" fontId="5" fillId="2" borderId="0" xfId="150" applyFont="1" applyFill="1" applyBorder="1" applyAlignment="1" applyProtection="1">
      <alignment horizontal="center" vertical="center" wrapText="1"/>
    </xf>
    <xf numFmtId="0" fontId="2" fillId="27" borderId="40" xfId="71" applyFont="1" applyFill="1" applyBorder="1" applyAlignment="1" applyProtection="1">
      <alignment horizontal="left" vertical="center" wrapText="1"/>
    </xf>
    <xf numFmtId="0" fontId="2" fillId="2" borderId="36" xfId="72" applyFont="1" applyFill="1" applyBorder="1" applyAlignment="1" applyProtection="1">
      <alignment vertical="center"/>
      <protection locked="0"/>
    </xf>
    <xf numFmtId="168" fontId="2" fillId="2" borderId="0" xfId="150" applyNumberFormat="1" applyFont="1" applyFill="1" applyBorder="1" applyAlignment="1" applyProtection="1">
      <alignment horizontal="left" vertical="center"/>
    </xf>
    <xf numFmtId="168" fontId="2" fillId="2" borderId="38" xfId="150" applyNumberFormat="1" applyFont="1" applyFill="1" applyBorder="1" applyAlignment="1" applyProtection="1">
      <alignment horizontal="left" vertical="center"/>
    </xf>
    <xf numFmtId="0" fontId="43" fillId="27" borderId="0" xfId="71" applyFont="1" applyFill="1" applyBorder="1" applyAlignment="1" applyProtection="1">
      <alignment horizontal="right" vertical="center" wrapText="1"/>
    </xf>
    <xf numFmtId="0" fontId="5" fillId="27" borderId="20" xfId="68" applyFont="1" applyFill="1" applyBorder="1" applyAlignment="1" applyProtection="1">
      <alignment horizontal="center" vertical="center"/>
    </xf>
    <xf numFmtId="0" fontId="5" fillId="25" borderId="20" xfId="208" applyFont="1" applyFill="1" applyBorder="1" applyAlignment="1" applyProtection="1">
      <alignment horizontal="left" vertical="center" indent="1"/>
    </xf>
    <xf numFmtId="0" fontId="5" fillId="25" borderId="19" xfId="208" applyFont="1" applyFill="1" applyBorder="1" applyAlignment="1" applyProtection="1">
      <alignment horizontal="left" vertical="center" indent="1"/>
    </xf>
    <xf numFmtId="0" fontId="4" fillId="25" borderId="12" xfId="429" applyFont="1" applyFill="1" applyBorder="1" applyAlignment="1" applyProtection="1">
      <alignment horizontal="left" vertical="center"/>
    </xf>
    <xf numFmtId="0" fontId="4" fillId="25" borderId="11" xfId="429" applyFont="1" applyFill="1" applyBorder="1" applyAlignment="1" applyProtection="1">
      <alignment horizontal="left" vertical="center"/>
    </xf>
    <xf numFmtId="0" fontId="4" fillId="25" borderId="12" xfId="429" applyFont="1" applyFill="1" applyBorder="1" applyAlignment="1" applyProtection="1">
      <alignment horizontal="center" vertical="center"/>
    </xf>
    <xf numFmtId="0" fontId="4" fillId="25" borderId="11" xfId="429" applyFont="1" applyFill="1" applyBorder="1" applyAlignment="1" applyProtection="1">
      <alignment horizontal="center" vertical="center"/>
    </xf>
    <xf numFmtId="0" fontId="5" fillId="25" borderId="14" xfId="208" applyFont="1" applyFill="1" applyBorder="1" applyAlignment="1" applyProtection="1">
      <alignment horizontal="center"/>
    </xf>
    <xf numFmtId="0" fontId="5" fillId="25" borderId="18" xfId="208" applyFont="1" applyFill="1" applyBorder="1" applyAlignment="1" applyProtection="1">
      <alignment horizontal="center"/>
    </xf>
    <xf numFmtId="0" fontId="95" fillId="27" borderId="61" xfId="68" applyFont="1" applyFill="1" applyBorder="1" applyAlignment="1" applyProtection="1">
      <alignment horizontal="center" vertical="center"/>
    </xf>
    <xf numFmtId="0" fontId="95" fillId="27" borderId="62" xfId="68" applyFont="1" applyFill="1" applyBorder="1" applyAlignment="1" applyProtection="1">
      <alignment horizontal="center" vertical="center"/>
    </xf>
    <xf numFmtId="0" fontId="5" fillId="25" borderId="20" xfId="208" applyFont="1" applyFill="1" applyBorder="1" applyAlignment="1" applyProtection="1">
      <alignment horizontal="left" indent="1"/>
    </xf>
    <xf numFmtId="0" fontId="5" fillId="25" borderId="19" xfId="208" applyFont="1" applyFill="1" applyBorder="1" applyAlignment="1" applyProtection="1">
      <alignment horizontal="left" indent="1"/>
    </xf>
    <xf numFmtId="0" fontId="5" fillId="25" borderId="60" xfId="208" applyFont="1" applyFill="1" applyBorder="1" applyAlignment="1" applyProtection="1">
      <alignment horizontal="left" indent="1"/>
    </xf>
    <xf numFmtId="0" fontId="5" fillId="25" borderId="62" xfId="208" applyFont="1" applyFill="1" applyBorder="1" applyAlignment="1" applyProtection="1">
      <alignment horizontal="left" indent="1"/>
    </xf>
    <xf numFmtId="0" fontId="95" fillId="27" borderId="60" xfId="68" applyFont="1" applyFill="1" applyBorder="1" applyAlignment="1" applyProtection="1">
      <alignment horizontal="center" vertical="center"/>
    </xf>
    <xf numFmtId="0" fontId="4" fillId="27" borderId="20" xfId="68" quotePrefix="1" applyFont="1" applyFill="1" applyBorder="1" applyAlignment="1" applyProtection="1">
      <alignment horizontal="center" vertical="center"/>
      <protection locked="0"/>
    </xf>
    <xf numFmtId="0" fontId="45" fillId="27" borderId="46" xfId="208" applyFont="1" applyFill="1" applyBorder="1" applyAlignment="1" applyProtection="1">
      <alignment horizontal="center" vertical="center"/>
    </xf>
    <xf numFmtId="0" fontId="110" fillId="0" borderId="57" xfId="429" applyFont="1" applyBorder="1" applyAlignment="1" applyProtection="1">
      <alignment horizontal="left" vertical="center"/>
    </xf>
    <xf numFmtId="168" fontId="2" fillId="2" borderId="0" xfId="150" applyNumberFormat="1" applyFont="1" applyFill="1" applyBorder="1" applyAlignment="1" applyProtection="1">
      <alignment horizontal="left" vertical="center"/>
      <protection locked="0"/>
    </xf>
    <xf numFmtId="168" fontId="2" fillId="2" borderId="38" xfId="150" applyNumberFormat="1" applyFont="1" applyFill="1" applyBorder="1" applyAlignment="1" applyProtection="1">
      <alignment horizontal="left" vertical="center"/>
      <protection locked="0"/>
    </xf>
    <xf numFmtId="0" fontId="4" fillId="25" borderId="12" xfId="429" applyFont="1" applyFill="1" applyBorder="1" applyAlignment="1" applyProtection="1">
      <alignment horizontal="left" vertical="center" wrapText="1" indent="2"/>
    </xf>
    <xf numFmtId="0" fontId="4" fillId="25" borderId="11" xfId="429" applyFont="1" applyFill="1" applyBorder="1" applyAlignment="1" applyProtection="1">
      <alignment horizontal="left" vertical="center" wrapText="1" indent="2"/>
    </xf>
    <xf numFmtId="0" fontId="148" fillId="0" borderId="12" xfId="429" applyFont="1" applyBorder="1" applyAlignment="1" applyProtection="1">
      <alignment vertical="center"/>
    </xf>
    <xf numFmtId="0" fontId="148" fillId="0" borderId="11" xfId="429" applyFont="1" applyBorder="1" applyAlignment="1" applyProtection="1">
      <alignment vertical="center"/>
    </xf>
    <xf numFmtId="0" fontId="148" fillId="0" borderId="10" xfId="429" applyFont="1" applyBorder="1" applyAlignment="1" applyProtection="1">
      <alignment vertical="center"/>
    </xf>
    <xf numFmtId="0" fontId="1" fillId="0" borderId="0" xfId="429" applyFont="1" applyBorder="1" applyAlignment="1" applyProtection="1">
      <alignment horizontal="center" vertical="center"/>
      <protection locked="0"/>
    </xf>
    <xf numFmtId="0" fontId="1" fillId="0" borderId="0" xfId="428" applyFont="1" applyBorder="1" applyAlignment="1" applyProtection="1">
      <alignment horizontal="center" vertical="center"/>
      <protection locked="0"/>
    </xf>
    <xf numFmtId="0" fontId="154" fillId="0" borderId="12" xfId="429" applyFont="1" applyBorder="1" applyAlignment="1" applyProtection="1">
      <alignment horizontal="center" vertical="center"/>
    </xf>
    <xf numFmtId="0" fontId="154" fillId="0" borderId="11" xfId="429" applyFont="1" applyBorder="1" applyAlignment="1" applyProtection="1">
      <alignment horizontal="center" vertical="center"/>
    </xf>
    <xf numFmtId="0" fontId="154" fillId="0" borderId="10" xfId="429" applyFont="1" applyBorder="1" applyAlignment="1" applyProtection="1">
      <alignment horizontal="center" vertical="center"/>
    </xf>
    <xf numFmtId="0" fontId="148" fillId="0" borderId="57" xfId="429" applyFont="1" applyBorder="1" applyAlignment="1" applyProtection="1">
      <alignment vertical="center"/>
    </xf>
    <xf numFmtId="0" fontId="148" fillId="0" borderId="12" xfId="429" applyFont="1" applyBorder="1" applyAlignment="1" applyProtection="1">
      <alignment horizontal="left" vertical="center"/>
    </xf>
    <xf numFmtId="0" fontId="148" fillId="0" borderId="11" xfId="429" applyFont="1" applyBorder="1" applyAlignment="1" applyProtection="1">
      <alignment horizontal="left" vertical="center"/>
    </xf>
    <xf numFmtId="0" fontId="148" fillId="0" borderId="10" xfId="429" applyFont="1" applyBorder="1" applyAlignment="1" applyProtection="1">
      <alignment horizontal="left" vertical="center"/>
    </xf>
    <xf numFmtId="0" fontId="110" fillId="0" borderId="12" xfId="429" applyFont="1" applyBorder="1" applyAlignment="1" applyProtection="1">
      <alignment horizontal="left" vertical="center"/>
    </xf>
    <xf numFmtId="0" fontId="110" fillId="0" borderId="11" xfId="429" applyFont="1" applyBorder="1" applyAlignment="1" applyProtection="1">
      <alignment horizontal="left" vertical="center"/>
    </xf>
    <xf numFmtId="0" fontId="110" fillId="0" borderId="10" xfId="429" applyFont="1" applyBorder="1" applyAlignment="1" applyProtection="1">
      <alignment horizontal="left" vertical="center"/>
    </xf>
    <xf numFmtId="173" fontId="5" fillId="0" borderId="0" xfId="429" applyNumberFormat="1" applyFont="1" applyFill="1" applyBorder="1" applyAlignment="1" applyProtection="1">
      <alignment horizontal="center" vertical="center"/>
    </xf>
    <xf numFmtId="173" fontId="5" fillId="0" borderId="38" xfId="429" applyNumberFormat="1" applyFont="1" applyFill="1" applyBorder="1" applyAlignment="1" applyProtection="1">
      <alignment horizontal="center" vertical="center"/>
    </xf>
    <xf numFmtId="0" fontId="4" fillId="25" borderId="12" xfId="429" applyFont="1" applyFill="1" applyBorder="1" applyAlignment="1" applyProtection="1">
      <alignment vertical="center" wrapText="1"/>
    </xf>
    <xf numFmtId="0" fontId="4" fillId="25" borderId="11" xfId="429" applyFont="1" applyFill="1" applyBorder="1" applyAlignment="1" applyProtection="1">
      <alignment vertical="center"/>
    </xf>
    <xf numFmtId="0" fontId="1" fillId="0" borderId="16" xfId="71" applyFont="1" applyFill="1" applyBorder="1" applyAlignment="1" applyProtection="1">
      <alignment horizontal="center" vertical="center" wrapText="1"/>
      <protection locked="0"/>
    </xf>
    <xf numFmtId="0" fontId="1" fillId="0" borderId="17" xfId="71" applyFont="1" applyFill="1" applyBorder="1" applyAlignment="1" applyProtection="1">
      <alignment horizontal="center" vertical="center" wrapText="1"/>
      <protection locked="0"/>
    </xf>
    <xf numFmtId="0" fontId="1" fillId="0" borderId="15" xfId="71" applyFont="1" applyFill="1" applyBorder="1" applyAlignment="1" applyProtection="1">
      <alignment horizontal="center" vertical="center" wrapText="1"/>
      <protection locked="0"/>
    </xf>
    <xf numFmtId="0" fontId="4" fillId="25" borderId="12" xfId="429" applyFont="1" applyFill="1" applyBorder="1" applyAlignment="1" applyProtection="1">
      <alignment horizontal="center" vertical="center" wrapText="1"/>
    </xf>
    <xf numFmtId="0" fontId="4" fillId="25" borderId="11" xfId="429" applyFont="1" applyFill="1" applyBorder="1" applyAlignment="1" applyProtection="1">
      <alignment horizontal="center" vertical="center" wrapText="1"/>
    </xf>
    <xf numFmtId="0" fontId="1" fillId="27" borderId="35" xfId="71" applyFont="1" applyFill="1" applyBorder="1" applyAlignment="1" applyProtection="1">
      <alignment horizontal="center" vertical="top" wrapText="1"/>
      <protection locked="0"/>
    </xf>
    <xf numFmtId="0" fontId="1" fillId="27" borderId="137" xfId="71" applyFont="1" applyFill="1" applyBorder="1" applyAlignment="1" applyProtection="1">
      <alignment horizontal="center" vertical="top" wrapText="1"/>
      <protection locked="0"/>
    </xf>
    <xf numFmtId="0" fontId="148" fillId="36" borderId="14" xfId="295" applyFont="1" applyFill="1" applyBorder="1" applyAlignment="1" applyProtection="1">
      <alignment horizontal="center" vertical="center"/>
    </xf>
    <xf numFmtId="0" fontId="148" fillId="36" borderId="13" xfId="295" applyFont="1" applyFill="1" applyBorder="1" applyAlignment="1" applyProtection="1">
      <alignment horizontal="center" vertical="center"/>
    </xf>
    <xf numFmtId="0" fontId="148" fillId="36" borderId="12" xfId="295" applyFont="1" applyFill="1" applyBorder="1" applyAlignment="1" applyProtection="1">
      <alignment horizontal="center" vertical="center"/>
    </xf>
    <xf numFmtId="0" fontId="148" fillId="36" borderId="10" xfId="295" applyFont="1" applyFill="1" applyBorder="1" applyAlignment="1" applyProtection="1">
      <alignment horizontal="center" vertical="center"/>
    </xf>
    <xf numFmtId="0" fontId="148" fillId="0" borderId="57" xfId="429" applyFont="1" applyBorder="1" applyAlignment="1" applyProtection="1">
      <alignment horizontal="center" vertical="center"/>
    </xf>
    <xf numFmtId="0" fontId="126" fillId="2" borderId="13" xfId="427" applyFont="1" applyFill="1" applyBorder="1" applyAlignment="1" applyProtection="1">
      <alignment horizontal="center" vertical="center"/>
    </xf>
    <xf numFmtId="0" fontId="126" fillId="2" borderId="0" xfId="427" applyFont="1" applyFill="1" applyBorder="1" applyAlignment="1" applyProtection="1">
      <alignment horizontal="center" vertical="center"/>
    </xf>
    <xf numFmtId="167" fontId="150" fillId="0" borderId="20" xfId="429" applyNumberFormat="1" applyFont="1" applyBorder="1" applyAlignment="1" applyProtection="1">
      <alignment horizontal="center" vertical="center"/>
      <protection locked="0"/>
    </xf>
    <xf numFmtId="0" fontId="125" fillId="0" borderId="57" xfId="429" applyFont="1" applyBorder="1" applyAlignment="1" applyProtection="1">
      <alignment horizontal="center" vertical="center"/>
    </xf>
    <xf numFmtId="0" fontId="125" fillId="36" borderId="12" xfId="295" applyFont="1" applyFill="1" applyBorder="1" applyAlignment="1" applyProtection="1">
      <alignment horizontal="center" vertical="center"/>
    </xf>
    <xf numFmtId="0" fontId="125" fillId="36" borderId="10" xfId="295" applyFont="1" applyFill="1" applyBorder="1" applyAlignment="1" applyProtection="1">
      <alignment horizontal="center" vertical="center"/>
    </xf>
    <xf numFmtId="0" fontId="125" fillId="2" borderId="13" xfId="427" applyFont="1" applyFill="1" applyBorder="1" applyAlignment="1" applyProtection="1">
      <alignment horizontal="center" vertical="center" wrapText="1"/>
    </xf>
    <xf numFmtId="0" fontId="125" fillId="2" borderId="0" xfId="427" applyFont="1" applyFill="1" applyBorder="1" applyAlignment="1" applyProtection="1">
      <alignment horizontal="center" vertical="center" wrapText="1"/>
    </xf>
    <xf numFmtId="0" fontId="5" fillId="25" borderId="109" xfId="208" applyFont="1" applyFill="1" applyBorder="1" applyAlignment="1" applyProtection="1">
      <alignment horizontal="left" indent="2"/>
    </xf>
    <xf numFmtId="0" fontId="5" fillId="25" borderId="105" xfId="208" applyFont="1" applyFill="1" applyBorder="1" applyAlignment="1" applyProtection="1">
      <alignment horizontal="left" indent="2"/>
    </xf>
    <xf numFmtId="0" fontId="5" fillId="25" borderId="47" xfId="68" applyFont="1" applyFill="1" applyBorder="1" applyAlignment="1" applyProtection="1">
      <alignment horizontal="left" vertical="center" indent="2"/>
    </xf>
    <xf numFmtId="0" fontId="5" fillId="25" borderId="48" xfId="68" applyFont="1" applyFill="1" applyBorder="1" applyAlignment="1" applyProtection="1">
      <alignment horizontal="left" vertical="center" indent="2"/>
    </xf>
    <xf numFmtId="0" fontId="3" fillId="36" borderId="13" xfId="295" applyFont="1" applyFill="1" applyBorder="1" applyAlignment="1" applyProtection="1">
      <alignment horizontal="left" vertical="center"/>
    </xf>
    <xf numFmtId="0" fontId="3" fillId="36" borderId="18" xfId="295" applyFont="1" applyFill="1" applyBorder="1" applyAlignment="1" applyProtection="1">
      <alignment horizontal="left" vertical="center"/>
    </xf>
    <xf numFmtId="0" fontId="6" fillId="36" borderId="0" xfId="295" applyFont="1" applyFill="1" applyBorder="1" applyAlignment="1" applyProtection="1">
      <alignment horizontal="center" vertical="center"/>
    </xf>
    <xf numFmtId="0" fontId="6" fillId="36" borderId="19" xfId="295" applyFont="1" applyFill="1" applyBorder="1" applyAlignment="1" applyProtection="1">
      <alignment horizontal="center" vertical="center"/>
    </xf>
    <xf numFmtId="0" fontId="5" fillId="0" borderId="34" xfId="71" applyFont="1" applyBorder="1" applyAlignment="1" applyProtection="1">
      <alignment horizontal="center" vertical="center" wrapText="1"/>
    </xf>
    <xf numFmtId="0" fontId="5" fillId="0" borderId="35" xfId="71" applyFont="1" applyBorder="1" applyAlignment="1" applyProtection="1">
      <alignment horizontal="center" vertical="center" wrapText="1"/>
    </xf>
    <xf numFmtId="0" fontId="5" fillId="0" borderId="36" xfId="71" applyFont="1" applyBorder="1" applyAlignment="1" applyProtection="1">
      <alignment horizontal="center" vertical="center" wrapText="1"/>
    </xf>
    <xf numFmtId="0" fontId="5" fillId="0" borderId="37" xfId="71" applyFont="1" applyBorder="1" applyAlignment="1" applyProtection="1">
      <alignment horizontal="center" vertical="center" wrapText="1"/>
    </xf>
    <xf numFmtId="0" fontId="5" fillId="0" borderId="38" xfId="71" applyFont="1" applyBorder="1" applyAlignment="1" applyProtection="1">
      <alignment horizontal="center" vertical="center" wrapText="1"/>
    </xf>
    <xf numFmtId="0" fontId="140" fillId="0" borderId="32" xfId="71" applyFont="1" applyBorder="1" applyAlignment="1" applyProtection="1">
      <alignment horizontal="left" vertical="center"/>
    </xf>
    <xf numFmtId="0" fontId="140" fillId="0" borderId="42" xfId="71" applyFont="1" applyBorder="1" applyAlignment="1" applyProtection="1">
      <alignment horizontal="left" vertical="center"/>
    </xf>
    <xf numFmtId="0" fontId="140" fillId="0" borderId="43" xfId="71" applyFont="1" applyBorder="1" applyAlignment="1" applyProtection="1">
      <alignment horizontal="left" vertical="center"/>
    </xf>
    <xf numFmtId="0" fontId="140" fillId="0" borderId="39" xfId="71" applyFont="1" applyBorder="1" applyAlignment="1" applyProtection="1">
      <alignment horizontal="left" vertical="center"/>
    </xf>
    <xf numFmtId="0" fontId="140" fillId="0" borderId="40" xfId="71" applyFont="1" applyBorder="1" applyAlignment="1" applyProtection="1">
      <alignment horizontal="left" vertical="center"/>
    </xf>
    <xf numFmtId="0" fontId="140" fillId="0" borderId="41" xfId="71" applyFont="1" applyBorder="1" applyAlignment="1" applyProtection="1">
      <alignment horizontal="left" vertical="center"/>
    </xf>
    <xf numFmtId="0" fontId="5" fillId="27" borderId="17" xfId="71" applyFont="1" applyFill="1" applyBorder="1" applyAlignment="1" applyProtection="1">
      <alignment horizontal="left" vertical="center"/>
    </xf>
    <xf numFmtId="0" fontId="5" fillId="27" borderId="0" xfId="71" applyFont="1" applyFill="1" applyBorder="1" applyAlignment="1" applyProtection="1">
      <alignment horizontal="left" vertical="center"/>
    </xf>
    <xf numFmtId="190" fontId="2" fillId="27" borderId="0" xfId="71" applyNumberFormat="1" applyFont="1" applyFill="1" applyBorder="1" applyAlignment="1" applyProtection="1">
      <alignment horizontal="left" vertical="center"/>
    </xf>
    <xf numFmtId="0" fontId="2" fillId="27" borderId="17" xfId="71" applyFont="1" applyFill="1" applyBorder="1" applyAlignment="1" applyProtection="1">
      <alignment horizontal="left" vertical="center"/>
    </xf>
    <xf numFmtId="0" fontId="140" fillId="0" borderId="144" xfId="71" applyFont="1" applyBorder="1" applyAlignment="1" applyProtection="1">
      <alignment horizontal="left" vertical="center"/>
    </xf>
    <xf numFmtId="0" fontId="140" fillId="0" borderId="146" xfId="71" applyFont="1" applyBorder="1" applyAlignment="1" applyProtection="1">
      <alignment horizontal="left" vertical="center"/>
    </xf>
    <xf numFmtId="0" fontId="1" fillId="0" borderId="35" xfId="71" applyFont="1" applyBorder="1" applyAlignment="1" applyProtection="1">
      <alignment horizontal="center"/>
    </xf>
    <xf numFmtId="0" fontId="1" fillId="0" borderId="36" xfId="71" applyFont="1" applyBorder="1" applyAlignment="1" applyProtection="1">
      <alignment horizontal="center"/>
    </xf>
    <xf numFmtId="0" fontId="1" fillId="0" borderId="38" xfId="71" applyFont="1" applyBorder="1" applyAlignment="1" applyProtection="1">
      <alignment horizontal="center"/>
    </xf>
    <xf numFmtId="0" fontId="1" fillId="0" borderId="40" xfId="71" applyFont="1" applyBorder="1" applyAlignment="1" applyProtection="1">
      <alignment horizontal="center"/>
    </xf>
    <xf numFmtId="0" fontId="1" fillId="0" borderId="41" xfId="71" applyFont="1" applyBorder="1" applyAlignment="1" applyProtection="1">
      <alignment horizontal="center"/>
    </xf>
    <xf numFmtId="0" fontId="144" fillId="25" borderId="92" xfId="208" applyFont="1" applyFill="1" applyBorder="1" applyAlignment="1" applyProtection="1">
      <alignment horizontal="center" vertical="center" wrapText="1"/>
    </xf>
    <xf numFmtId="0" fontId="144" fillId="25" borderId="93" xfId="208" applyFont="1" applyFill="1" applyBorder="1" applyAlignment="1" applyProtection="1">
      <alignment horizontal="center" vertical="center" wrapText="1"/>
    </xf>
    <xf numFmtId="0" fontId="1" fillId="0" borderId="37" xfId="208" applyFont="1" applyBorder="1" applyAlignment="1" applyProtection="1">
      <alignment horizontal="center"/>
    </xf>
    <xf numFmtId="0" fontId="3" fillId="25" borderId="35" xfId="68" applyFont="1" applyFill="1" applyBorder="1" applyAlignment="1" applyProtection="1">
      <alignment horizontal="center" vertical="center"/>
    </xf>
    <xf numFmtId="0" fontId="3" fillId="25" borderId="36" xfId="68" applyFont="1" applyFill="1" applyBorder="1" applyAlignment="1" applyProtection="1">
      <alignment horizontal="center" vertical="center"/>
    </xf>
    <xf numFmtId="0" fontId="2" fillId="0" borderId="0" xfId="68" applyFont="1" applyBorder="1" applyAlignment="1" applyProtection="1">
      <alignment horizontal="center"/>
    </xf>
    <xf numFmtId="0" fontId="2" fillId="0" borderId="38" xfId="68" applyFont="1" applyBorder="1" applyAlignment="1" applyProtection="1">
      <alignment horizontal="center"/>
    </xf>
    <xf numFmtId="1" fontId="146" fillId="0" borderId="39" xfId="208" applyNumberFormat="1" applyFont="1" applyFill="1" applyBorder="1" applyAlignment="1" applyProtection="1">
      <alignment horizontal="center"/>
    </xf>
    <xf numFmtId="1" fontId="146" fillId="0" borderId="41" xfId="208" applyNumberFormat="1" applyFont="1" applyFill="1" applyBorder="1" applyAlignment="1" applyProtection="1">
      <alignment horizontal="center"/>
    </xf>
    <xf numFmtId="1" fontId="146" fillId="0" borderId="37" xfId="208" applyNumberFormat="1" applyFont="1" applyFill="1" applyBorder="1" applyAlignment="1" applyProtection="1">
      <alignment horizontal="center"/>
    </xf>
    <xf numFmtId="1" fontId="146" fillId="0" borderId="38" xfId="208" applyNumberFormat="1" applyFont="1" applyFill="1" applyBorder="1" applyAlignment="1" applyProtection="1">
      <alignment horizontal="center"/>
    </xf>
    <xf numFmtId="0" fontId="2" fillId="0" borderId="235" xfId="208" applyFont="1" applyBorder="1" applyAlignment="1" applyProtection="1">
      <alignment horizontal="center" vertical="center" wrapText="1"/>
    </xf>
    <xf numFmtId="0" fontId="2" fillId="0" borderId="236" xfId="208" applyFont="1" applyBorder="1" applyAlignment="1" applyProtection="1">
      <alignment horizontal="center" vertical="center" wrapText="1"/>
    </xf>
    <xf numFmtId="0" fontId="5" fillId="25" borderId="34" xfId="208" applyFont="1" applyFill="1" applyBorder="1" applyAlignment="1" applyProtection="1">
      <alignment horizontal="center" vertical="center"/>
    </xf>
    <xf numFmtId="0" fontId="5" fillId="25" borderId="35" xfId="208" applyFont="1" applyFill="1" applyBorder="1" applyAlignment="1" applyProtection="1">
      <alignment horizontal="center" vertical="center"/>
    </xf>
    <xf numFmtId="0" fontId="5" fillId="25" borderId="36" xfId="208" applyFont="1" applyFill="1" applyBorder="1" applyAlignment="1" applyProtection="1">
      <alignment horizontal="center" vertical="center"/>
    </xf>
    <xf numFmtId="0" fontId="5" fillId="25" borderId="37" xfId="208" applyFont="1" applyFill="1" applyBorder="1" applyAlignment="1" applyProtection="1">
      <alignment horizontal="center" vertical="center"/>
    </xf>
    <xf numFmtId="0" fontId="5" fillId="25" borderId="0" xfId="208" applyFont="1" applyFill="1" applyBorder="1" applyAlignment="1" applyProtection="1">
      <alignment horizontal="center" vertical="center"/>
    </xf>
    <xf numFmtId="0" fontId="5" fillId="25" borderId="38" xfId="208" applyFont="1" applyFill="1" applyBorder="1" applyAlignment="1" applyProtection="1">
      <alignment horizontal="center" vertical="center"/>
    </xf>
    <xf numFmtId="0" fontId="144" fillId="25" borderId="37" xfId="208" applyFont="1" applyFill="1" applyBorder="1" applyAlignment="1" applyProtection="1">
      <alignment horizontal="center" vertical="center"/>
    </xf>
    <xf numFmtId="0" fontId="144" fillId="25" borderId="38" xfId="208" applyFont="1" applyFill="1" applyBorder="1" applyAlignment="1" applyProtection="1">
      <alignment horizontal="center" vertical="center"/>
    </xf>
    <xf numFmtId="0" fontId="144" fillId="25" borderId="34" xfId="208" applyFont="1" applyFill="1" applyBorder="1" applyAlignment="1" applyProtection="1">
      <alignment horizontal="center" vertical="center" wrapText="1"/>
    </xf>
    <xf numFmtId="0" fontId="144" fillId="25" borderId="36" xfId="208" applyFont="1" applyFill="1" applyBorder="1" applyAlignment="1" applyProtection="1">
      <alignment horizontal="center" vertical="center" wrapText="1"/>
    </xf>
    <xf numFmtId="0" fontId="144" fillId="25" borderId="37" xfId="208" applyFont="1" applyFill="1" applyBorder="1" applyAlignment="1" applyProtection="1">
      <alignment horizontal="center" vertical="center" wrapText="1"/>
    </xf>
    <xf numFmtId="0" fontId="144" fillId="25" borderId="38" xfId="208" applyFont="1" applyFill="1" applyBorder="1" applyAlignment="1" applyProtection="1">
      <alignment horizontal="center" vertical="center" wrapText="1"/>
    </xf>
    <xf numFmtId="0" fontId="4" fillId="0" borderId="40" xfId="208" applyFont="1" applyBorder="1" applyAlignment="1" applyProtection="1">
      <alignment horizontal="center" vertical="center"/>
    </xf>
    <xf numFmtId="0" fontId="4" fillId="0" borderId="40" xfId="208" applyFont="1" applyBorder="1" applyAlignment="1" applyProtection="1">
      <alignment horizontal="center"/>
    </xf>
    <xf numFmtId="0" fontId="4" fillId="0" borderId="0" xfId="208" applyFont="1" applyBorder="1" applyAlignment="1" applyProtection="1">
      <alignment horizontal="center"/>
    </xf>
    <xf numFmtId="0" fontId="3" fillId="25" borderId="34" xfId="68" applyFont="1" applyFill="1" applyBorder="1" applyAlignment="1" applyProtection="1">
      <alignment horizontal="center" vertical="center"/>
    </xf>
    <xf numFmtId="0" fontId="2" fillId="0" borderId="37" xfId="68" applyFont="1" applyBorder="1" applyAlignment="1" applyProtection="1">
      <alignment horizontal="center"/>
    </xf>
    <xf numFmtId="0" fontId="43" fillId="25" borderId="149" xfId="208" applyFont="1" applyFill="1" applyBorder="1" applyAlignment="1" applyProtection="1">
      <alignment horizontal="center" vertical="center"/>
    </xf>
    <xf numFmtId="0" fontId="43" fillId="25" borderId="150" xfId="208" applyFont="1" applyFill="1" applyBorder="1" applyAlignment="1" applyProtection="1">
      <alignment horizontal="center" vertical="center"/>
    </xf>
    <xf numFmtId="0" fontId="43" fillId="25" borderId="42" xfId="208" applyFont="1" applyFill="1" applyBorder="1" applyAlignment="1" applyProtection="1">
      <alignment horizontal="center" vertical="center"/>
    </xf>
    <xf numFmtId="0" fontId="43" fillId="25" borderId="43" xfId="208" applyFont="1" applyFill="1" applyBorder="1" applyAlignment="1" applyProtection="1">
      <alignment horizontal="center" vertical="center"/>
    </xf>
    <xf numFmtId="0" fontId="2" fillId="0" borderId="235" xfId="208" applyFont="1" applyBorder="1" applyAlignment="1" applyProtection="1">
      <alignment horizontal="left" vertical="center"/>
    </xf>
    <xf numFmtId="0" fontId="2" fillId="0" borderId="233" xfId="208" applyFont="1" applyBorder="1" applyAlignment="1" applyProtection="1">
      <alignment horizontal="left" vertical="center"/>
    </xf>
    <xf numFmtId="0" fontId="2" fillId="0" borderId="235" xfId="208" applyFont="1" applyBorder="1" applyAlignment="1" applyProtection="1">
      <alignment horizontal="left" vertical="center" wrapText="1"/>
    </xf>
    <xf numFmtId="0" fontId="2" fillId="0" borderId="17" xfId="208" applyFont="1" applyBorder="1" applyAlignment="1" applyProtection="1">
      <alignment horizontal="left" vertical="center"/>
    </xf>
    <xf numFmtId="0" fontId="2" fillId="0" borderId="233" xfId="208" applyFont="1" applyBorder="1" applyAlignment="1" applyProtection="1">
      <alignment horizontal="left" vertical="center" wrapText="1"/>
    </xf>
    <xf numFmtId="0" fontId="2" fillId="0" borderId="243" xfId="208" applyFont="1" applyBorder="1" applyAlignment="1" applyProtection="1">
      <alignment horizontal="left" vertical="center"/>
    </xf>
    <xf numFmtId="0" fontId="43" fillId="0" borderId="18" xfId="208" applyFont="1" applyBorder="1" applyAlignment="1" applyProtection="1">
      <alignment horizontal="center" vertical="center" wrapText="1"/>
    </xf>
    <xf numFmtId="0" fontId="43" fillId="0" borderId="15" xfId="208" applyFont="1" applyBorder="1" applyAlignment="1" applyProtection="1">
      <alignment horizontal="center" vertical="center" wrapText="1"/>
    </xf>
    <xf numFmtId="0" fontId="43" fillId="0" borderId="14" xfId="208" applyFont="1" applyBorder="1" applyAlignment="1" applyProtection="1">
      <alignment horizontal="center" vertical="center" wrapText="1"/>
    </xf>
    <xf numFmtId="0" fontId="43" fillId="0" borderId="16" xfId="208" applyFont="1" applyBorder="1" applyAlignment="1" applyProtection="1">
      <alignment horizontal="center" vertical="center"/>
    </xf>
    <xf numFmtId="0" fontId="43" fillId="0" borderId="30" xfId="208" applyFont="1" applyBorder="1" applyAlignment="1" applyProtection="1">
      <alignment horizontal="center" wrapText="1"/>
    </xf>
    <xf numFmtId="0" fontId="43" fillId="0" borderId="64" xfId="208" applyFont="1" applyBorder="1" applyAlignment="1" applyProtection="1">
      <alignment horizontal="center" wrapText="1"/>
    </xf>
    <xf numFmtId="167" fontId="2" fillId="0" borderId="14" xfId="208" applyNumberFormat="1" applyFont="1" applyBorder="1" applyAlignment="1" applyProtection="1">
      <alignment horizontal="center"/>
    </xf>
    <xf numFmtId="167" fontId="2" fillId="0" borderId="18" xfId="208" applyNumberFormat="1" applyFont="1" applyBorder="1" applyAlignment="1" applyProtection="1">
      <alignment horizontal="center"/>
    </xf>
    <xf numFmtId="167" fontId="2" fillId="0" borderId="13" xfId="208" applyNumberFormat="1" applyFont="1" applyBorder="1" applyAlignment="1" applyProtection="1">
      <alignment horizontal="center"/>
    </xf>
    <xf numFmtId="0" fontId="5" fillId="36" borderId="14" xfId="295" applyFont="1" applyFill="1" applyBorder="1" applyAlignment="1" applyProtection="1">
      <alignment horizontal="left" vertical="center"/>
      <protection locked="0"/>
    </xf>
    <xf numFmtId="0" fontId="5" fillId="36" borderId="13" xfId="295" applyFont="1" applyFill="1" applyBorder="1" applyAlignment="1" applyProtection="1">
      <alignment horizontal="left" vertical="center"/>
      <protection locked="0"/>
    </xf>
    <xf numFmtId="0" fontId="5" fillId="36" borderId="18" xfId="295" applyFont="1" applyFill="1" applyBorder="1" applyAlignment="1" applyProtection="1">
      <alignment horizontal="left" vertical="center"/>
      <protection locked="0"/>
    </xf>
    <xf numFmtId="0" fontId="4" fillId="0" borderId="20" xfId="208" applyFont="1" applyBorder="1" applyAlignment="1" applyProtection="1">
      <alignment horizontal="center"/>
    </xf>
    <xf numFmtId="0" fontId="4" fillId="0" borderId="38" xfId="208" applyFont="1" applyBorder="1" applyAlignment="1" applyProtection="1">
      <alignment horizontal="center"/>
    </xf>
    <xf numFmtId="0" fontId="4" fillId="0" borderId="19" xfId="208" applyFont="1" applyBorder="1" applyAlignment="1" applyProtection="1">
      <alignment horizontal="center"/>
    </xf>
    <xf numFmtId="0" fontId="6" fillId="36" borderId="16" xfId="295" applyFont="1" applyFill="1" applyBorder="1" applyAlignment="1" applyProtection="1">
      <alignment horizontal="center" vertical="center"/>
      <protection locked="0"/>
    </xf>
    <xf numFmtId="0" fontId="6" fillId="36" borderId="17" xfId="295" applyFont="1" applyFill="1" applyBorder="1" applyAlignment="1" applyProtection="1">
      <alignment horizontal="center" vertical="center"/>
      <protection locked="0"/>
    </xf>
    <xf numFmtId="0" fontId="6" fillId="36" borderId="15" xfId="295" applyFont="1" applyFill="1" applyBorder="1" applyAlignment="1" applyProtection="1">
      <alignment horizontal="center" vertical="center"/>
      <protection locked="0"/>
    </xf>
    <xf numFmtId="0" fontId="4" fillId="0" borderId="0" xfId="68" applyFont="1" applyBorder="1" applyAlignment="1" applyProtection="1">
      <alignment horizontal="center" vertical="center"/>
      <protection locked="0"/>
    </xf>
    <xf numFmtId="0" fontId="4" fillId="0" borderId="38" xfId="68" applyFont="1" applyBorder="1" applyAlignment="1" applyProtection="1">
      <alignment horizontal="center" vertical="center"/>
      <protection locked="0"/>
    </xf>
    <xf numFmtId="0" fontId="112" fillId="2" borderId="110" xfId="208" applyFont="1" applyFill="1" applyBorder="1" applyAlignment="1" applyProtection="1">
      <alignment horizontal="center" vertical="center" wrapText="1"/>
    </xf>
    <xf numFmtId="0" fontId="112" fillId="2" borderId="111" xfId="208" applyFont="1" applyFill="1" applyBorder="1" applyAlignment="1" applyProtection="1">
      <alignment horizontal="center" vertical="center" wrapText="1"/>
    </xf>
    <xf numFmtId="0" fontId="112" fillId="2" borderId="112" xfId="208" applyFont="1" applyFill="1" applyBorder="1" applyAlignment="1" applyProtection="1">
      <alignment horizontal="center" vertical="center" wrapText="1"/>
    </xf>
    <xf numFmtId="0" fontId="112" fillId="2" borderId="113" xfId="208" applyFont="1" applyFill="1" applyBorder="1" applyAlignment="1" applyProtection="1">
      <alignment horizontal="center" vertical="center" wrapText="1"/>
    </xf>
    <xf numFmtId="0" fontId="108" fillId="2" borderId="110" xfId="208" applyFont="1" applyFill="1" applyBorder="1" applyAlignment="1" applyProtection="1">
      <alignment horizontal="center" vertical="center" wrapText="1"/>
    </xf>
    <xf numFmtId="0" fontId="108" fillId="2" borderId="111" xfId="208" applyFont="1" applyFill="1" applyBorder="1" applyAlignment="1" applyProtection="1">
      <alignment horizontal="center" vertical="center" wrapText="1"/>
    </xf>
    <xf numFmtId="0" fontId="108" fillId="2" borderId="112" xfId="208" applyFont="1" applyFill="1" applyBorder="1" applyAlignment="1" applyProtection="1">
      <alignment horizontal="center" vertical="center" wrapText="1"/>
    </xf>
    <xf numFmtId="0" fontId="108" fillId="2" borderId="113" xfId="208" applyFont="1" applyFill="1" applyBorder="1" applyAlignment="1" applyProtection="1">
      <alignment horizontal="center" vertical="center" wrapText="1"/>
    </xf>
    <xf numFmtId="0" fontId="109" fillId="2" borderId="116" xfId="208" applyFont="1" applyFill="1" applyBorder="1" applyAlignment="1" applyProtection="1">
      <alignment horizontal="center" vertical="center" wrapText="1"/>
    </xf>
    <xf numFmtId="0" fontId="109" fillId="2" borderId="114" xfId="208" applyFont="1" applyFill="1" applyBorder="1" applyAlignment="1" applyProtection="1">
      <alignment horizontal="center" vertical="center" wrapText="1"/>
    </xf>
    <xf numFmtId="1" fontId="109" fillId="28" borderId="117" xfId="208" applyNumberFormat="1" applyFont="1" applyFill="1" applyBorder="1" applyAlignment="1" applyProtection="1">
      <alignment horizontal="center" vertical="center"/>
    </xf>
    <xf numFmtId="1" fontId="109" fillId="28" borderId="115" xfId="208" applyNumberFormat="1" applyFont="1" applyFill="1" applyBorder="1" applyAlignment="1" applyProtection="1">
      <alignment horizontal="center" vertical="center"/>
    </xf>
    <xf numFmtId="0" fontId="114" fillId="2" borderId="120" xfId="208" applyFont="1" applyFill="1" applyBorder="1" applyAlignment="1" applyProtection="1">
      <alignment horizontal="center" vertical="center" wrapText="1"/>
    </xf>
    <xf numFmtId="0" fontId="1" fillId="0" borderId="0" xfId="208" applyFill="1" applyBorder="1" applyAlignment="1" applyProtection="1">
      <alignment horizontal="center" vertical="center" wrapText="1"/>
      <protection locked="0"/>
    </xf>
    <xf numFmtId="0" fontId="118" fillId="2" borderId="0" xfId="208" applyFont="1" applyFill="1" applyAlignment="1" applyProtection="1">
      <alignment horizontal="center"/>
    </xf>
    <xf numFmtId="0" fontId="109" fillId="37" borderId="133" xfId="208" applyFont="1" applyFill="1" applyBorder="1" applyAlignment="1" applyProtection="1">
      <alignment horizontal="center"/>
    </xf>
    <xf numFmtId="0" fontId="109" fillId="37" borderId="134" xfId="208" applyFont="1" applyFill="1" applyBorder="1" applyAlignment="1" applyProtection="1">
      <alignment horizontal="center"/>
    </xf>
    <xf numFmtId="167" fontId="117" fillId="37" borderId="128" xfId="208" applyNumberFormat="1" applyFont="1" applyFill="1" applyBorder="1" applyAlignment="1" applyProtection="1">
      <alignment horizontal="center"/>
    </xf>
    <xf numFmtId="167" fontId="117" fillId="37" borderId="129" xfId="208" applyNumberFormat="1" applyFont="1" applyFill="1" applyBorder="1" applyAlignment="1" applyProtection="1">
      <alignment horizontal="center"/>
    </xf>
    <xf numFmtId="167" fontId="117" fillId="37" borderId="0" xfId="208" applyNumberFormat="1" applyFont="1" applyFill="1" applyBorder="1" applyAlignment="1" applyProtection="1">
      <alignment horizontal="center"/>
    </xf>
    <xf numFmtId="167" fontId="117" fillId="37" borderId="131" xfId="208" applyNumberFormat="1" applyFont="1" applyFill="1" applyBorder="1" applyAlignment="1" applyProtection="1">
      <alignment horizontal="center"/>
    </xf>
    <xf numFmtId="0" fontId="111" fillId="2" borderId="0" xfId="208" applyFont="1" applyFill="1" applyAlignment="1" applyProtection="1">
      <alignment horizontal="center" vertical="center" wrapText="1"/>
    </xf>
    <xf numFmtId="0" fontId="108" fillId="2" borderId="121" xfId="208" applyFont="1" applyFill="1" applyBorder="1" applyAlignment="1" applyProtection="1">
      <alignment horizontal="center" vertical="center" wrapText="1"/>
    </xf>
    <xf numFmtId="0" fontId="108" fillId="2" borderId="122" xfId="208" applyFont="1" applyFill="1" applyBorder="1" applyAlignment="1" applyProtection="1">
      <alignment horizontal="center" vertical="center" wrapText="1"/>
    </xf>
    <xf numFmtId="0" fontId="108" fillId="2" borderId="123" xfId="208" applyFont="1" applyFill="1" applyBorder="1" applyAlignment="1" applyProtection="1">
      <alignment horizontal="center" vertical="center" wrapText="1"/>
    </xf>
    <xf numFmtId="0" fontId="108" fillId="2" borderId="124" xfId="208" applyFont="1" applyFill="1" applyBorder="1" applyAlignment="1" applyProtection="1">
      <alignment horizontal="center" vertical="center" wrapText="1"/>
    </xf>
    <xf numFmtId="0" fontId="108" fillId="2" borderId="125" xfId="208" applyFont="1" applyFill="1" applyBorder="1" applyAlignment="1" applyProtection="1">
      <alignment horizontal="center" vertical="center" wrapText="1"/>
    </xf>
    <xf numFmtId="0" fontId="108" fillId="2" borderId="126" xfId="208" applyFont="1" applyFill="1" applyBorder="1" applyAlignment="1" applyProtection="1">
      <alignment horizontal="center" vertical="center" wrapText="1"/>
    </xf>
    <xf numFmtId="0" fontId="109" fillId="37" borderId="127" xfId="208" applyFont="1" applyFill="1" applyBorder="1" applyAlignment="1" applyProtection="1">
      <alignment horizontal="center" vertical="center" wrapText="1"/>
    </xf>
    <xf numFmtId="0" fontId="109" fillId="37" borderId="130" xfId="208" applyFont="1" applyFill="1" applyBorder="1" applyAlignment="1" applyProtection="1">
      <alignment horizontal="center" vertical="center" wrapText="1"/>
    </xf>
    <xf numFmtId="0" fontId="109" fillId="37" borderId="128" xfId="208" applyFont="1" applyFill="1" applyBorder="1" applyAlignment="1" applyProtection="1">
      <alignment horizontal="center" vertical="center" wrapText="1"/>
    </xf>
    <xf numFmtId="0" fontId="109" fillId="37" borderId="0" xfId="208" applyFont="1" applyFill="1" applyBorder="1" applyAlignment="1" applyProtection="1">
      <alignment horizontal="center" vertical="center" wrapText="1"/>
    </xf>
    <xf numFmtId="0" fontId="109" fillId="37" borderId="129" xfId="208" applyFont="1" applyFill="1" applyBorder="1" applyAlignment="1" applyProtection="1">
      <alignment horizontal="center" vertical="center" wrapText="1"/>
    </xf>
    <xf numFmtId="0" fontId="109" fillId="37" borderId="131" xfId="208" applyFont="1" applyFill="1" applyBorder="1" applyAlignment="1" applyProtection="1">
      <alignment horizontal="center" vertical="center" wrapText="1"/>
    </xf>
    <xf numFmtId="0" fontId="47" fillId="0" borderId="251" xfId="69" applyFont="1" applyBorder="1" applyAlignment="1" applyProtection="1">
      <alignment horizontal="center" wrapText="1"/>
    </xf>
    <xf numFmtId="0" fontId="47" fillId="0" borderId="37" xfId="70" applyFont="1" applyFill="1" applyBorder="1" applyAlignment="1" applyProtection="1">
      <alignment horizontal="center" vertical="center" wrapText="1"/>
    </xf>
    <xf numFmtId="0" fontId="1" fillId="30" borderId="3" xfId="208" applyFill="1" applyBorder="1" applyAlignment="1" applyProtection="1">
      <alignment horizontal="center" vertical="center" wrapText="1"/>
      <protection locked="0"/>
    </xf>
    <xf numFmtId="0" fontId="45" fillId="25" borderId="47" xfId="68" applyFont="1" applyFill="1" applyBorder="1" applyAlignment="1" applyProtection="1">
      <alignment horizontal="center" vertical="center"/>
    </xf>
    <xf numFmtId="0" fontId="45" fillId="25" borderId="48" xfId="68" applyFont="1" applyFill="1" applyBorder="1" applyAlignment="1" applyProtection="1">
      <alignment horizontal="center" vertical="center"/>
    </xf>
    <xf numFmtId="0" fontId="47" fillId="0" borderId="13" xfId="69" applyFont="1" applyBorder="1" applyAlignment="1" applyProtection="1">
      <alignment horizontal="center" vertical="center" wrapText="1"/>
    </xf>
    <xf numFmtId="0" fontId="44" fillId="0" borderId="47" xfId="68" applyFont="1" applyBorder="1" applyAlignment="1" applyProtection="1">
      <alignment horizontal="center"/>
    </xf>
    <xf numFmtId="0" fontId="44" fillId="0" borderId="48" xfId="68" applyFont="1" applyBorder="1" applyAlignment="1" applyProtection="1">
      <alignment horizontal="center"/>
    </xf>
    <xf numFmtId="0" fontId="2" fillId="0" borderId="46" xfId="68" applyFont="1" applyFill="1" applyBorder="1" applyAlignment="1" applyProtection="1">
      <alignment horizontal="center"/>
    </xf>
    <xf numFmtId="0" fontId="2" fillId="0" borderId="48" xfId="68" applyFont="1" applyFill="1" applyBorder="1" applyAlignment="1" applyProtection="1">
      <alignment horizontal="center"/>
    </xf>
    <xf numFmtId="0" fontId="2" fillId="0" borderId="47" xfId="68" applyFont="1" applyFill="1" applyBorder="1" applyAlignment="1" applyProtection="1">
      <alignment horizontal="center"/>
    </xf>
    <xf numFmtId="0" fontId="4" fillId="0" borderId="17" xfId="68" applyFont="1" applyBorder="1" applyAlignment="1" applyProtection="1">
      <alignment horizontal="center" vertical="center"/>
    </xf>
    <xf numFmtId="0" fontId="4" fillId="0" borderId="100" xfId="68" applyFont="1" applyBorder="1" applyAlignment="1" applyProtection="1">
      <alignment horizontal="center" vertical="center"/>
    </xf>
    <xf numFmtId="0" fontId="4" fillId="0" borderId="17" xfId="68" applyFont="1" applyFill="1" applyBorder="1" applyAlignment="1" applyProtection="1">
      <alignment horizontal="center" vertical="center"/>
    </xf>
    <xf numFmtId="0" fontId="4" fillId="0" borderId="15" xfId="68" applyFont="1" applyFill="1" applyBorder="1" applyAlignment="1" applyProtection="1">
      <alignment horizontal="center" vertical="center"/>
    </xf>
    <xf numFmtId="0" fontId="4" fillId="0" borderId="16" xfId="68" applyFont="1" applyFill="1" applyBorder="1" applyAlignment="1" applyProtection="1">
      <alignment horizontal="center" vertical="center"/>
    </xf>
    <xf numFmtId="0" fontId="1" fillId="30" borderId="9" xfId="208" applyFill="1" applyBorder="1" applyAlignment="1" applyProtection="1">
      <alignment horizontal="center" vertical="center" wrapText="1"/>
      <protection locked="0"/>
    </xf>
    <xf numFmtId="0" fontId="4" fillId="0" borderId="20" xfId="68" applyFont="1" applyBorder="1" applyAlignment="1" applyProtection="1">
      <alignment horizontal="center"/>
    </xf>
    <xf numFmtId="0" fontId="1" fillId="30" borderId="5" xfId="208" applyFill="1" applyBorder="1" applyAlignment="1" applyProtection="1">
      <alignment horizontal="center" vertical="center" wrapText="1"/>
      <protection locked="0"/>
    </xf>
    <xf numFmtId="0" fontId="4" fillId="0" borderId="20" xfId="68" quotePrefix="1" applyFont="1" applyBorder="1" applyAlignment="1" applyProtection="1">
      <alignment horizontal="center" vertical="center"/>
      <protection locked="0"/>
    </xf>
    <xf numFmtId="0" fontId="4" fillId="0" borderId="19" xfId="68" applyFont="1" applyBorder="1" applyAlignment="1" applyProtection="1">
      <alignment horizontal="center" vertical="center"/>
      <protection locked="0"/>
    </xf>
    <xf numFmtId="0" fontId="8" fillId="35" borderId="12" xfId="208" applyFont="1" applyFill="1" applyBorder="1" applyAlignment="1" applyProtection="1">
      <alignment horizontal="center" vertical="center" wrapText="1"/>
      <protection locked="0"/>
    </xf>
    <xf numFmtId="0" fontId="8" fillId="35" borderId="11" xfId="208" applyFont="1" applyFill="1" applyBorder="1" applyAlignment="1" applyProtection="1">
      <alignment horizontal="center" vertical="center" wrapText="1"/>
      <protection locked="0"/>
    </xf>
    <xf numFmtId="0" fontId="8" fillId="35" borderId="13" xfId="208" applyFont="1" applyFill="1" applyBorder="1" applyAlignment="1" applyProtection="1">
      <alignment horizontal="center" vertical="center" wrapText="1"/>
      <protection locked="0"/>
    </xf>
    <xf numFmtId="0" fontId="8" fillId="35" borderId="18" xfId="208" applyFont="1" applyFill="1" applyBorder="1" applyAlignment="1" applyProtection="1">
      <alignment horizontal="center" vertical="center" wrapText="1"/>
      <protection locked="0"/>
    </xf>
    <xf numFmtId="2" fontId="1" fillId="0" borderId="2" xfId="208" applyNumberFormat="1" applyFont="1" applyBorder="1" applyAlignment="1" applyProtection="1">
      <alignment horizontal="center" vertical="center"/>
    </xf>
    <xf numFmtId="2" fontId="1" fillId="0" borderId="4" xfId="208" applyNumberFormat="1" applyFont="1" applyBorder="1" applyAlignment="1" applyProtection="1">
      <alignment horizontal="center" vertical="center"/>
    </xf>
    <xf numFmtId="173" fontId="156" fillId="0" borderId="49" xfId="208" applyNumberFormat="1" applyFont="1" applyBorder="1" applyAlignment="1" applyProtection="1">
      <alignment horizontal="center" vertical="center"/>
    </xf>
    <xf numFmtId="173" fontId="156" fillId="0" borderId="50" xfId="208" applyNumberFormat="1" applyFont="1" applyBorder="1" applyAlignment="1" applyProtection="1">
      <alignment horizontal="center" vertical="center"/>
    </xf>
    <xf numFmtId="173" fontId="156" fillId="0" borderId="51" xfId="208" applyNumberFormat="1" applyFont="1" applyBorder="1" applyAlignment="1" applyProtection="1">
      <alignment horizontal="center" vertical="center"/>
    </xf>
    <xf numFmtId="0" fontId="156" fillId="30" borderId="12" xfId="208" applyFont="1" applyFill="1" applyBorder="1" applyAlignment="1" applyProtection="1">
      <alignment horizontal="center" vertical="center" wrapText="1"/>
      <protection locked="0"/>
    </xf>
    <xf numFmtId="0" fontId="156" fillId="30" borderId="11" xfId="208" applyFont="1" applyFill="1" applyBorder="1" applyAlignment="1" applyProtection="1">
      <alignment horizontal="center" vertical="center" wrapText="1"/>
      <protection locked="0"/>
    </xf>
    <xf numFmtId="0" fontId="156" fillId="30" borderId="10" xfId="208" applyFont="1" applyFill="1" applyBorder="1" applyAlignment="1" applyProtection="1">
      <alignment horizontal="center" vertical="center" wrapText="1"/>
      <protection locked="0"/>
    </xf>
    <xf numFmtId="2" fontId="1" fillId="0" borderId="7" xfId="208" applyNumberFormat="1" applyFont="1" applyBorder="1" applyAlignment="1" applyProtection="1">
      <alignment horizontal="center" vertical="center"/>
    </xf>
    <xf numFmtId="2" fontId="1" fillId="0" borderId="6" xfId="208" applyNumberFormat="1" applyFont="1" applyBorder="1" applyAlignment="1" applyProtection="1">
      <alignment horizontal="center" vertical="center"/>
    </xf>
    <xf numFmtId="2" fontId="1" fillId="0" borderId="52" xfId="208" applyNumberFormat="1" applyFont="1" applyBorder="1" applyAlignment="1" applyProtection="1">
      <alignment horizontal="center" vertical="center"/>
    </xf>
    <xf numFmtId="2" fontId="1" fillId="0" borderId="53" xfId="208" applyNumberFormat="1" applyFont="1" applyBorder="1" applyAlignment="1" applyProtection="1">
      <alignment horizontal="center" vertical="center"/>
    </xf>
    <xf numFmtId="0" fontId="1" fillId="0" borderId="57" xfId="208" applyFont="1" applyFill="1" applyBorder="1" applyAlignment="1" applyProtection="1">
      <alignment horizontal="left" vertical="center" wrapText="1"/>
    </xf>
    <xf numFmtId="0" fontId="1" fillId="30" borderId="11" xfId="208" applyFill="1" applyBorder="1" applyAlignment="1" applyProtection="1">
      <alignment horizontal="center" vertical="center" wrapText="1"/>
    </xf>
    <xf numFmtId="0" fontId="1" fillId="30" borderId="10" xfId="208" applyFill="1" applyBorder="1" applyAlignment="1" applyProtection="1">
      <alignment horizontal="center" vertical="center" wrapText="1"/>
    </xf>
    <xf numFmtId="0" fontId="2" fillId="0" borderId="12" xfId="208" applyFont="1" applyBorder="1" applyAlignment="1" applyProtection="1">
      <alignment horizontal="center" vertical="center" wrapText="1"/>
    </xf>
    <xf numFmtId="0" fontId="2" fillId="0" borderId="11" xfId="208" applyFont="1" applyBorder="1" applyAlignment="1" applyProtection="1">
      <alignment horizontal="center" vertical="center" wrapText="1"/>
    </xf>
    <xf numFmtId="0" fontId="2" fillId="0" borderId="10" xfId="208" applyFont="1" applyBorder="1" applyAlignment="1" applyProtection="1">
      <alignment horizontal="center" vertical="center" wrapText="1"/>
    </xf>
    <xf numFmtId="0" fontId="2" fillId="0" borderId="12" xfId="208" applyFont="1" applyBorder="1" applyAlignment="1" applyProtection="1">
      <alignment horizontal="center" vertical="center" wrapText="1"/>
      <protection locked="0"/>
    </xf>
    <xf numFmtId="0" fontId="2" fillId="0" borderId="11" xfId="208" applyFont="1" applyBorder="1" applyAlignment="1" applyProtection="1">
      <alignment horizontal="center" vertical="center" wrapText="1"/>
      <protection locked="0"/>
    </xf>
    <xf numFmtId="0" fontId="2" fillId="0" borderId="10" xfId="208" applyFont="1" applyBorder="1" applyAlignment="1" applyProtection="1">
      <alignment horizontal="center" vertical="center" wrapText="1"/>
      <protection locked="0"/>
    </xf>
    <xf numFmtId="0" fontId="2" fillId="30" borderId="57" xfId="208" applyFont="1" applyFill="1" applyBorder="1" applyAlignment="1" applyProtection="1">
      <alignment horizontal="center" vertical="center" wrapText="1"/>
      <protection locked="0"/>
    </xf>
    <xf numFmtId="0" fontId="8" fillId="35" borderId="12" xfId="208" applyFont="1" applyFill="1" applyBorder="1" applyAlignment="1" applyProtection="1">
      <alignment horizontal="center" vertical="center"/>
    </xf>
    <xf numFmtId="0" fontId="8" fillId="35" borderId="11" xfId="208" applyFont="1" applyFill="1" applyBorder="1" applyAlignment="1" applyProtection="1">
      <alignment horizontal="center" vertical="center"/>
    </xf>
    <xf numFmtId="0" fontId="8" fillId="35" borderId="13" xfId="208" applyFont="1" applyFill="1" applyBorder="1" applyAlignment="1" applyProtection="1">
      <alignment horizontal="center" vertical="center"/>
    </xf>
    <xf numFmtId="0" fontId="8" fillId="35" borderId="18" xfId="208" applyFont="1" applyFill="1" applyBorder="1" applyAlignment="1" applyProtection="1">
      <alignment horizontal="center" vertical="center"/>
    </xf>
    <xf numFmtId="0" fontId="1" fillId="30" borderId="54" xfId="208" applyFill="1" applyBorder="1" applyAlignment="1" applyProtection="1">
      <alignment horizontal="center" vertical="center" wrapText="1"/>
      <protection locked="0"/>
    </xf>
    <xf numFmtId="0" fontId="1" fillId="30" borderId="66" xfId="208" applyFill="1" applyBorder="1" applyAlignment="1" applyProtection="1">
      <alignment horizontal="center" vertical="center" wrapText="1"/>
      <protection locked="0"/>
    </xf>
    <xf numFmtId="0" fontId="1" fillId="30" borderId="55" xfId="208" applyFill="1" applyBorder="1" applyAlignment="1" applyProtection="1">
      <alignment horizontal="center" vertical="center" wrapText="1"/>
      <protection locked="0"/>
    </xf>
    <xf numFmtId="0" fontId="10" fillId="30" borderId="94" xfId="208" applyFont="1" applyFill="1" applyBorder="1" applyAlignment="1" applyProtection="1">
      <alignment horizontal="center" vertical="center" wrapText="1"/>
      <protection locked="0"/>
    </xf>
    <xf numFmtId="0" fontId="10" fillId="30" borderId="11" xfId="208" applyFont="1" applyFill="1" applyBorder="1" applyAlignment="1" applyProtection="1">
      <alignment horizontal="center" vertical="center" wrapText="1"/>
      <protection locked="0"/>
    </xf>
    <xf numFmtId="0" fontId="10" fillId="30" borderId="10" xfId="208" applyFont="1" applyFill="1" applyBorder="1" applyAlignment="1" applyProtection="1">
      <alignment horizontal="center" vertical="center" wrapText="1"/>
      <protection locked="0"/>
    </xf>
    <xf numFmtId="0" fontId="10" fillId="30" borderId="12" xfId="208" applyFont="1" applyFill="1" applyBorder="1" applyAlignment="1" applyProtection="1">
      <alignment horizontal="center" vertical="center" wrapText="1"/>
      <protection locked="0"/>
    </xf>
    <xf numFmtId="0" fontId="10" fillId="30" borderId="103" xfId="208" applyFont="1" applyFill="1" applyBorder="1" applyAlignment="1" applyProtection="1">
      <alignment horizontal="center" vertical="center" wrapText="1"/>
      <protection locked="0"/>
    </xf>
    <xf numFmtId="167" fontId="10" fillId="30" borderId="94" xfId="208" applyNumberFormat="1" applyFont="1" applyFill="1" applyBorder="1" applyAlignment="1" applyProtection="1">
      <alignment horizontal="center" vertical="center" wrapText="1"/>
      <protection locked="0"/>
    </xf>
    <xf numFmtId="167" fontId="10" fillId="30" borderId="11" xfId="208" applyNumberFormat="1" applyFont="1" applyFill="1" applyBorder="1" applyAlignment="1" applyProtection="1">
      <alignment horizontal="center" vertical="center" wrapText="1"/>
      <protection locked="0"/>
    </xf>
    <xf numFmtId="167" fontId="10" fillId="30" borderId="10" xfId="208" applyNumberFormat="1" applyFont="1" applyFill="1" applyBorder="1" applyAlignment="1" applyProtection="1">
      <alignment horizontal="center" vertical="center" wrapText="1"/>
      <protection locked="0"/>
    </xf>
    <xf numFmtId="167" fontId="10" fillId="30" borderId="12" xfId="208" applyNumberFormat="1" applyFont="1" applyFill="1" applyBorder="1" applyAlignment="1" applyProtection="1">
      <alignment horizontal="center" vertical="center" wrapText="1"/>
      <protection locked="0"/>
    </xf>
    <xf numFmtId="167" fontId="10" fillId="30" borderId="103" xfId="208" applyNumberFormat="1" applyFont="1" applyFill="1" applyBorder="1" applyAlignment="1" applyProtection="1">
      <alignment horizontal="center" vertical="center" wrapText="1"/>
      <protection locked="0"/>
    </xf>
    <xf numFmtId="0" fontId="1" fillId="0" borderId="12" xfId="208" applyFont="1" applyBorder="1" applyAlignment="1" applyProtection="1">
      <alignment horizontal="center" vertical="center"/>
    </xf>
    <xf numFmtId="0" fontId="1" fillId="0" borderId="12" xfId="208" applyFill="1" applyBorder="1" applyAlignment="1" applyProtection="1">
      <alignment horizontal="center" vertical="center" wrapText="1"/>
      <protection locked="0"/>
    </xf>
    <xf numFmtId="0" fontId="1" fillId="0" borderId="11" xfId="208" applyFill="1" applyBorder="1" applyAlignment="1" applyProtection="1">
      <alignment horizontal="center" vertical="center" wrapText="1"/>
      <protection locked="0"/>
    </xf>
    <xf numFmtId="0" fontId="1" fillId="0" borderId="10" xfId="208" applyFill="1" applyBorder="1" applyAlignment="1" applyProtection="1">
      <alignment horizontal="center" vertical="center" wrapText="1"/>
      <protection locked="0"/>
    </xf>
    <xf numFmtId="1" fontId="2" fillId="0" borderId="332" xfId="208" applyNumberFormat="1" applyFont="1" applyBorder="1" applyAlignment="1" applyProtection="1">
      <alignment horizontal="center"/>
    </xf>
    <xf numFmtId="1" fontId="2" fillId="0" borderId="333" xfId="208" applyNumberFormat="1" applyFont="1" applyBorder="1" applyAlignment="1" applyProtection="1">
      <alignment horizontal="center"/>
    </xf>
    <xf numFmtId="0" fontId="4" fillId="0" borderId="49" xfId="208" applyFont="1" applyBorder="1" applyAlignment="1" applyProtection="1">
      <alignment horizontal="justify" vertical="center" wrapText="1"/>
    </xf>
    <xf numFmtId="0" fontId="1" fillId="0" borderId="50" xfId="208" applyFont="1" applyBorder="1" applyAlignment="1" applyProtection="1">
      <alignment horizontal="justify" vertical="center" wrapText="1"/>
    </xf>
    <xf numFmtId="0" fontId="1" fillId="0" borderId="9" xfId="208" applyFill="1" applyBorder="1" applyAlignment="1" applyProtection="1">
      <alignment horizontal="center" vertical="center" wrapText="1"/>
      <protection locked="0"/>
    </xf>
    <xf numFmtId="1" fontId="2" fillId="0" borderId="17" xfId="208" applyNumberFormat="1" applyFont="1" applyBorder="1" applyAlignment="1" applyProtection="1">
      <alignment horizontal="center"/>
    </xf>
    <xf numFmtId="1" fontId="2" fillId="0" borderId="15" xfId="208" applyNumberFormat="1" applyFont="1" applyBorder="1" applyAlignment="1" applyProtection="1">
      <alignment horizontal="center"/>
    </xf>
    <xf numFmtId="1" fontId="2" fillId="0" borderId="16" xfId="208" applyNumberFormat="1" applyFont="1" applyBorder="1" applyAlignment="1" applyProtection="1">
      <alignment horizontal="center"/>
    </xf>
    <xf numFmtId="173" fontId="5" fillId="0" borderId="14" xfId="208" applyNumberFormat="1" applyFont="1" applyBorder="1" applyAlignment="1" applyProtection="1">
      <alignment horizontal="center"/>
      <protection locked="0"/>
    </xf>
    <xf numFmtId="173" fontId="5" fillId="0" borderId="13" xfId="208" applyNumberFormat="1" applyFont="1" applyBorder="1" applyAlignment="1" applyProtection="1">
      <alignment horizontal="center"/>
      <protection locked="0"/>
    </xf>
    <xf numFmtId="173" fontId="5" fillId="0" borderId="18" xfId="208" applyNumberFormat="1" applyFont="1" applyBorder="1" applyAlignment="1" applyProtection="1">
      <alignment horizontal="center"/>
      <protection locked="0"/>
    </xf>
    <xf numFmtId="173" fontId="5" fillId="0" borderId="20" xfId="208" applyNumberFormat="1" applyFont="1" applyBorder="1" applyAlignment="1" applyProtection="1">
      <alignment horizontal="center"/>
      <protection locked="0"/>
    </xf>
    <xf numFmtId="173" fontId="5" fillId="0" borderId="0" xfId="208" applyNumberFormat="1" applyFont="1" applyBorder="1" applyAlignment="1" applyProtection="1">
      <alignment horizontal="center"/>
      <protection locked="0"/>
    </xf>
    <xf numFmtId="173" fontId="5" fillId="0" borderId="19" xfId="208" applyNumberFormat="1" applyFont="1" applyBorder="1" applyAlignment="1" applyProtection="1">
      <alignment horizontal="center"/>
      <protection locked="0"/>
    </xf>
    <xf numFmtId="173" fontId="5" fillId="0" borderId="16" xfId="208" applyNumberFormat="1" applyFont="1" applyBorder="1" applyAlignment="1" applyProtection="1">
      <alignment horizontal="center"/>
      <protection locked="0"/>
    </xf>
    <xf numFmtId="173" fontId="5" fillId="0" borderId="17" xfId="208" applyNumberFormat="1" applyFont="1" applyBorder="1" applyAlignment="1" applyProtection="1">
      <alignment horizontal="center"/>
      <protection locked="0"/>
    </xf>
    <xf numFmtId="173" fontId="5" fillId="0" borderId="15" xfId="208" applyNumberFormat="1" applyFont="1" applyBorder="1" applyAlignment="1" applyProtection="1">
      <alignment horizontal="center"/>
      <protection locked="0"/>
    </xf>
    <xf numFmtId="0" fontId="8" fillId="35" borderId="12" xfId="208" applyFont="1" applyFill="1" applyBorder="1" applyAlignment="1" applyProtection="1">
      <alignment horizontal="center" vertical="center" wrapText="1"/>
    </xf>
    <xf numFmtId="0" fontId="8" fillId="35" borderId="11" xfId="208" applyFont="1" applyFill="1" applyBorder="1" applyAlignment="1" applyProtection="1">
      <alignment horizontal="center" vertical="center" wrapText="1"/>
    </xf>
    <xf numFmtId="0" fontId="8" fillId="35" borderId="10" xfId="208" applyFont="1" applyFill="1" applyBorder="1" applyAlignment="1" applyProtection="1">
      <alignment horizontal="center" vertical="center" wrapText="1"/>
    </xf>
    <xf numFmtId="0" fontId="1" fillId="30" borderId="8" xfId="208" applyFill="1" applyBorder="1" applyAlignment="1" applyProtection="1">
      <alignment horizontal="center" vertical="center" wrapText="1"/>
      <protection locked="0"/>
    </xf>
    <xf numFmtId="0" fontId="1" fillId="0" borderId="4" xfId="208" applyBorder="1" applyAlignment="1" applyProtection="1">
      <alignment horizontal="right" vertical="center" wrapText="1"/>
    </xf>
    <xf numFmtId="0" fontId="1" fillId="30" borderId="94" xfId="208" applyFill="1" applyBorder="1" applyAlignment="1" applyProtection="1">
      <alignment horizontal="center" vertical="center" wrapText="1"/>
      <protection locked="0"/>
    </xf>
    <xf numFmtId="0" fontId="1" fillId="30" borderId="11" xfId="208" applyFill="1" applyBorder="1" applyAlignment="1" applyProtection="1">
      <alignment horizontal="center" vertical="center" wrapText="1"/>
      <protection locked="0"/>
    </xf>
    <xf numFmtId="0" fontId="1" fillId="30" borderId="10" xfId="208" applyFill="1" applyBorder="1" applyAlignment="1" applyProtection="1">
      <alignment horizontal="center" vertical="center" wrapText="1"/>
      <protection locked="0"/>
    </xf>
    <xf numFmtId="0" fontId="1" fillId="30" borderId="12" xfId="208" applyFill="1" applyBorder="1" applyAlignment="1" applyProtection="1">
      <alignment horizontal="center" vertical="center" wrapText="1"/>
      <protection locked="0"/>
    </xf>
    <xf numFmtId="0" fontId="1" fillId="30" borderId="103" xfId="208" applyFill="1" applyBorder="1" applyAlignment="1" applyProtection="1">
      <alignment horizontal="center" vertical="center" wrapText="1"/>
      <protection locked="0"/>
    </xf>
    <xf numFmtId="0" fontId="3" fillId="35" borderId="12" xfId="208" applyFont="1" applyFill="1" applyBorder="1" applyAlignment="1" applyProtection="1">
      <alignment horizontal="center"/>
    </xf>
    <xf numFmtId="0" fontId="3" fillId="35" borderId="11" xfId="208" applyFont="1" applyFill="1" applyBorder="1" applyAlignment="1" applyProtection="1">
      <alignment horizontal="center"/>
    </xf>
    <xf numFmtId="0" fontId="3" fillId="35" borderId="10" xfId="208" applyFont="1" applyFill="1" applyBorder="1" applyAlignment="1" applyProtection="1">
      <alignment horizontal="center"/>
    </xf>
    <xf numFmtId="0" fontId="1" fillId="0" borderId="6" xfId="208" applyBorder="1" applyAlignment="1" applyProtection="1">
      <alignment horizontal="right" vertical="center" wrapText="1"/>
    </xf>
    <xf numFmtId="0" fontId="129" fillId="0" borderId="20" xfId="208" applyFont="1" applyBorder="1" applyAlignment="1" applyProtection="1">
      <alignment horizontal="center"/>
    </xf>
    <xf numFmtId="0" fontId="129" fillId="0" borderId="19" xfId="208" applyFont="1" applyBorder="1" applyAlignment="1" applyProtection="1">
      <alignment horizontal="center"/>
    </xf>
    <xf numFmtId="2" fontId="129" fillId="0" borderId="20" xfId="208" applyNumberFormat="1" applyFont="1" applyBorder="1" applyAlignment="1" applyProtection="1">
      <alignment horizontal="center"/>
    </xf>
    <xf numFmtId="2" fontId="129" fillId="0" borderId="19" xfId="208" applyNumberFormat="1" applyFont="1" applyBorder="1" applyAlignment="1" applyProtection="1">
      <alignment horizontal="center"/>
    </xf>
    <xf numFmtId="0" fontId="2" fillId="0" borderId="12" xfId="208" applyFont="1" applyBorder="1" applyAlignment="1" applyProtection="1">
      <alignment horizontal="left" vertical="center" wrapText="1"/>
    </xf>
    <xf numFmtId="0" fontId="2" fillId="0" borderId="11" xfId="208" applyFont="1" applyBorder="1" applyAlignment="1" applyProtection="1">
      <alignment horizontal="left"/>
    </xf>
    <xf numFmtId="0" fontId="43" fillId="0" borderId="20" xfId="208" applyFont="1" applyBorder="1" applyAlignment="1" applyProtection="1">
      <alignment horizontal="center" wrapText="1"/>
    </xf>
    <xf numFmtId="0" fontId="43" fillId="0" borderId="19" xfId="208" applyFont="1" applyBorder="1" applyAlignment="1" applyProtection="1">
      <alignment horizontal="center" wrapText="1"/>
    </xf>
    <xf numFmtId="0" fontId="1" fillId="0" borderId="30" xfId="71" applyFont="1" applyBorder="1" applyAlignment="1" applyProtection="1">
      <alignment horizontal="center"/>
    </xf>
    <xf numFmtId="0" fontId="5" fillId="0" borderId="17" xfId="71" applyFont="1" applyBorder="1" applyAlignment="1" applyProtection="1">
      <alignment horizontal="center" vertical="center" wrapText="1"/>
    </xf>
    <xf numFmtId="0" fontId="140" fillId="0" borderId="14" xfId="71" applyFont="1" applyBorder="1" applyAlignment="1" applyProtection="1">
      <alignment horizontal="left" vertical="center"/>
    </xf>
    <xf numFmtId="0" fontId="140" fillId="0" borderId="13" xfId="71" applyFont="1" applyBorder="1" applyAlignment="1" applyProtection="1">
      <alignment horizontal="left" vertical="center"/>
    </xf>
    <xf numFmtId="0" fontId="140" fillId="0" borderId="18" xfId="71" applyFont="1" applyBorder="1" applyAlignment="1" applyProtection="1">
      <alignment horizontal="left" vertical="center"/>
    </xf>
    <xf numFmtId="190" fontId="2" fillId="0" borderId="13" xfId="71" applyNumberFormat="1" applyFont="1" applyBorder="1" applyAlignment="1" applyProtection="1">
      <alignment horizontal="left" vertical="center"/>
    </xf>
    <xf numFmtId="0" fontId="43" fillId="27" borderId="0" xfId="71" applyFont="1" applyFill="1" applyBorder="1" applyAlignment="1" applyProtection="1">
      <alignment horizontal="left" vertical="center"/>
    </xf>
    <xf numFmtId="0" fontId="2" fillId="0" borderId="99" xfId="208" applyFont="1" applyBorder="1" applyAlignment="1" applyProtection="1">
      <alignment horizontal="left" vertical="center" wrapText="1"/>
    </xf>
    <xf numFmtId="0" fontId="2" fillId="0" borderId="35" xfId="208" applyFont="1" applyBorder="1" applyAlignment="1" applyProtection="1">
      <alignment horizontal="left" vertical="center" wrapText="1"/>
    </xf>
    <xf numFmtId="0" fontId="2" fillId="0" borderId="332" xfId="208" applyFont="1" applyBorder="1" applyAlignment="1" applyProtection="1">
      <alignment horizontal="left" vertical="center"/>
    </xf>
    <xf numFmtId="0" fontId="2" fillId="0" borderId="139" xfId="208" applyFont="1" applyBorder="1" applyAlignment="1" applyProtection="1">
      <alignment horizontal="left" vertical="center"/>
    </xf>
    <xf numFmtId="0" fontId="1" fillId="0" borderId="14" xfId="71" applyFont="1" applyBorder="1" applyAlignment="1" applyProtection="1">
      <alignment horizontal="center"/>
    </xf>
    <xf numFmtId="0" fontId="140" fillId="0" borderId="145" xfId="71" applyFont="1" applyBorder="1" applyAlignment="1" applyProtection="1">
      <alignment horizontal="left" vertical="center"/>
    </xf>
    <xf numFmtId="0" fontId="140" fillId="0" borderId="227" xfId="71" applyFont="1" applyBorder="1" applyAlignment="1" applyProtection="1">
      <alignment horizontal="left" vertical="center"/>
    </xf>
    <xf numFmtId="0" fontId="2" fillId="0" borderId="16" xfId="208" applyFont="1" applyBorder="1" applyAlignment="1" applyProtection="1">
      <alignment horizontal="left" vertical="center"/>
    </xf>
    <xf numFmtId="0" fontId="2" fillId="0" borderId="35" xfId="208" applyFont="1" applyBorder="1" applyAlignment="1" applyProtection="1">
      <alignment horizontal="center" wrapText="1"/>
    </xf>
    <xf numFmtId="0" fontId="2" fillId="0" borderId="137" xfId="208" applyFont="1" applyBorder="1" applyAlignment="1" applyProtection="1">
      <alignment horizontal="center" wrapText="1"/>
    </xf>
    <xf numFmtId="0" fontId="43" fillId="25" borderId="152" xfId="208" applyFont="1" applyFill="1" applyBorder="1" applyAlignment="1" applyProtection="1">
      <alignment horizontal="center" vertical="center"/>
    </xf>
    <xf numFmtId="0" fontId="43" fillId="25" borderId="153" xfId="208" applyFont="1" applyFill="1" applyBorder="1" applyAlignment="1" applyProtection="1">
      <alignment horizontal="center" vertical="center"/>
    </xf>
    <xf numFmtId="0" fontId="2" fillId="27" borderId="0" xfId="71" applyNumberFormat="1" applyFont="1" applyFill="1" applyBorder="1" applyAlignment="1" applyProtection="1">
      <alignment horizontal="left" vertical="center"/>
    </xf>
    <xf numFmtId="0" fontId="144" fillId="25" borderId="20" xfId="208" applyFont="1" applyFill="1" applyBorder="1" applyAlignment="1" applyProtection="1">
      <alignment horizontal="center"/>
    </xf>
    <xf numFmtId="0" fontId="144" fillId="25" borderId="19" xfId="208" applyFont="1" applyFill="1" applyBorder="1" applyAlignment="1" applyProtection="1">
      <alignment horizontal="center"/>
    </xf>
    <xf numFmtId="0" fontId="146" fillId="0" borderId="20" xfId="208" applyFont="1" applyFill="1" applyBorder="1" applyAlignment="1" applyProtection="1">
      <alignment horizontal="center"/>
    </xf>
    <xf numFmtId="0" fontId="146" fillId="0" borderId="19" xfId="208" applyFont="1" applyFill="1" applyBorder="1" applyAlignment="1" applyProtection="1">
      <alignment horizontal="center"/>
    </xf>
    <xf numFmtId="0" fontId="43" fillId="25" borderId="221" xfId="208" applyFont="1" applyFill="1" applyBorder="1" applyAlignment="1" applyProtection="1">
      <alignment horizontal="center" vertical="center"/>
    </xf>
    <xf numFmtId="0" fontId="43" fillId="25" borderId="226" xfId="208" applyFont="1" applyFill="1" applyBorder="1" applyAlignment="1" applyProtection="1">
      <alignment horizontal="center" vertical="center"/>
    </xf>
    <xf numFmtId="0" fontId="144" fillId="25" borderId="324" xfId="208" applyFont="1" applyFill="1" applyBorder="1" applyAlignment="1" applyProtection="1">
      <alignment horizontal="center" vertical="center" wrapText="1"/>
    </xf>
    <xf numFmtId="0" fontId="144" fillId="25" borderId="108" xfId="208" applyFont="1" applyFill="1" applyBorder="1" applyAlignment="1" applyProtection="1">
      <alignment horizontal="center" vertical="center" wrapText="1"/>
    </xf>
    <xf numFmtId="0" fontId="2" fillId="0" borderId="154" xfId="208" applyFont="1" applyBorder="1" applyAlignment="1" applyProtection="1">
      <alignment horizontal="left" vertical="center"/>
    </xf>
    <xf numFmtId="0" fontId="2" fillId="0" borderId="340" xfId="208" applyFont="1" applyBorder="1" applyAlignment="1" applyProtection="1">
      <alignment horizontal="left" vertical="center" wrapText="1"/>
    </xf>
    <xf numFmtId="0" fontId="2" fillId="0" borderId="341" xfId="208" applyFont="1" applyBorder="1" applyAlignment="1" applyProtection="1">
      <alignment horizontal="left" vertical="center" wrapText="1"/>
    </xf>
    <xf numFmtId="0" fontId="2" fillId="0" borderId="141" xfId="208" applyFont="1" applyBorder="1" applyAlignment="1" applyProtection="1">
      <alignment horizontal="left" vertical="center"/>
    </xf>
    <xf numFmtId="0" fontId="2" fillId="0" borderId="142" xfId="208" applyFont="1" applyBorder="1" applyAlignment="1" applyProtection="1">
      <alignment horizontal="left" vertical="center"/>
    </xf>
    <xf numFmtId="0" fontId="43" fillId="25" borderId="14" xfId="208" applyFont="1" applyFill="1" applyBorder="1" applyAlignment="1" applyProtection="1">
      <alignment horizontal="center" vertical="center" wrapText="1"/>
    </xf>
    <xf numFmtId="0" fontId="43" fillId="25" borderId="13" xfId="208" applyFont="1" applyFill="1" applyBorder="1" applyAlignment="1" applyProtection="1">
      <alignment horizontal="center" vertical="center" wrapText="1"/>
    </xf>
    <xf numFmtId="0" fontId="43" fillId="25" borderId="18" xfId="208" applyFont="1" applyFill="1" applyBorder="1" applyAlignment="1" applyProtection="1">
      <alignment horizontal="center" vertical="center" wrapText="1"/>
    </xf>
    <xf numFmtId="0" fontId="43" fillId="25" borderId="20" xfId="208" applyFont="1" applyFill="1" applyBorder="1" applyAlignment="1" applyProtection="1">
      <alignment horizontal="center" vertical="center" wrapText="1"/>
    </xf>
    <xf numFmtId="0" fontId="43" fillId="25" borderId="0" xfId="208" applyFont="1" applyFill="1" applyBorder="1" applyAlignment="1" applyProtection="1">
      <alignment horizontal="center" vertical="center" wrapText="1"/>
    </xf>
    <xf numFmtId="0" fontId="43" fillId="25" borderId="19" xfId="208" applyFont="1" applyFill="1" applyBorder="1" applyAlignment="1" applyProtection="1">
      <alignment horizontal="center" vertical="center" wrapText="1"/>
    </xf>
    <xf numFmtId="0" fontId="108" fillId="25" borderId="14" xfId="208" applyFont="1" applyFill="1" applyBorder="1" applyAlignment="1" applyProtection="1">
      <alignment horizontal="center" vertical="center" wrapText="1"/>
    </xf>
    <xf numFmtId="0" fontId="108" fillId="25" borderId="18" xfId="208" applyFont="1" applyFill="1" applyBorder="1" applyAlignment="1" applyProtection="1">
      <alignment horizontal="center" vertical="center" wrapText="1"/>
    </xf>
    <xf numFmtId="0" fontId="108" fillId="25" borderId="20" xfId="208" applyFont="1" applyFill="1" applyBorder="1" applyAlignment="1" applyProtection="1">
      <alignment horizontal="center" vertical="center" wrapText="1"/>
    </xf>
    <xf numFmtId="0" fontId="108" fillId="25" borderId="19" xfId="208" applyFont="1" applyFill="1" applyBorder="1" applyAlignment="1" applyProtection="1">
      <alignment horizontal="center" vertical="center" wrapText="1"/>
    </xf>
    <xf numFmtId="0" fontId="5" fillId="25" borderId="14" xfId="208" applyFont="1" applyFill="1" applyBorder="1" applyAlignment="1" applyProtection="1">
      <alignment horizontal="center" vertical="center"/>
    </xf>
    <xf numFmtId="0" fontId="5" fillId="25" borderId="13" xfId="208" applyFont="1" applyFill="1" applyBorder="1" applyAlignment="1" applyProtection="1">
      <alignment horizontal="center" vertical="center"/>
    </xf>
    <xf numFmtId="0" fontId="5" fillId="25" borderId="18" xfId="208" applyFont="1" applyFill="1" applyBorder="1" applyAlignment="1" applyProtection="1">
      <alignment horizontal="center" vertical="center"/>
    </xf>
    <xf numFmtId="0" fontId="2" fillId="0" borderId="20" xfId="208" applyFont="1" applyBorder="1" applyAlignment="1" applyProtection="1">
      <alignment horizontal="center" vertical="center"/>
      <protection locked="0"/>
    </xf>
    <xf numFmtId="0" fontId="2" fillId="0" borderId="0" xfId="208" applyFont="1" applyBorder="1" applyAlignment="1" applyProtection="1">
      <alignment horizontal="center" vertical="center"/>
      <protection locked="0"/>
    </xf>
    <xf numFmtId="0" fontId="2" fillId="0" borderId="19" xfId="208" applyFont="1" applyBorder="1" applyAlignment="1" applyProtection="1">
      <alignment horizontal="center" vertical="center"/>
      <protection locked="0"/>
    </xf>
    <xf numFmtId="0" fontId="2" fillId="0" borderId="16" xfId="208" applyFont="1" applyBorder="1" applyAlignment="1" applyProtection="1">
      <alignment horizontal="center" vertical="center"/>
      <protection locked="0"/>
    </xf>
    <xf numFmtId="0" fontId="2" fillId="0" borderId="17" xfId="208" applyFont="1" applyBorder="1" applyAlignment="1" applyProtection="1">
      <alignment horizontal="center" vertical="center"/>
      <protection locked="0"/>
    </xf>
    <xf numFmtId="0" fontId="2" fillId="0" borderId="15" xfId="208" applyFont="1" applyBorder="1" applyAlignment="1" applyProtection="1">
      <alignment horizontal="center" vertical="center"/>
      <protection locked="0"/>
    </xf>
    <xf numFmtId="0" fontId="47" fillId="0" borderId="302" xfId="69" applyFont="1" applyBorder="1" applyAlignment="1" applyProtection="1">
      <alignment horizontal="center" wrapText="1"/>
    </xf>
    <xf numFmtId="0" fontId="3" fillId="36" borderId="14" xfId="295" applyFont="1" applyFill="1" applyBorder="1" applyAlignment="1" applyProtection="1">
      <alignment horizontal="left" vertical="center"/>
      <protection locked="0"/>
    </xf>
    <xf numFmtId="0" fontId="3" fillId="36" borderId="13" xfId="295" applyFont="1" applyFill="1" applyBorder="1" applyAlignment="1" applyProtection="1">
      <alignment horizontal="left" vertical="center"/>
      <protection locked="0"/>
    </xf>
    <xf numFmtId="0" fontId="3" fillId="36" borderId="18" xfId="295" applyFont="1" applyFill="1" applyBorder="1" applyAlignment="1" applyProtection="1">
      <alignment horizontal="left" vertical="center"/>
      <protection locked="0"/>
    </xf>
    <xf numFmtId="0" fontId="6" fillId="36" borderId="20" xfId="295" applyFont="1" applyFill="1" applyBorder="1" applyAlignment="1" applyProtection="1">
      <alignment horizontal="center" vertical="center"/>
      <protection locked="0"/>
    </xf>
    <xf numFmtId="0" fontId="6" fillId="36" borderId="0" xfId="295" applyFont="1" applyFill="1" applyBorder="1" applyAlignment="1" applyProtection="1">
      <alignment horizontal="center" vertical="center"/>
      <protection locked="0"/>
    </xf>
    <xf numFmtId="0" fontId="6" fillId="36" borderId="19" xfId="295" applyFont="1" applyFill="1" applyBorder="1" applyAlignment="1" applyProtection="1">
      <alignment horizontal="center" vertical="center"/>
      <protection locked="0"/>
    </xf>
    <xf numFmtId="0" fontId="146" fillId="0" borderId="16" xfId="208" applyFont="1" applyFill="1" applyBorder="1" applyAlignment="1" applyProtection="1">
      <alignment horizontal="center"/>
    </xf>
    <xf numFmtId="0" fontId="146" fillId="0" borderId="15" xfId="208" applyFont="1" applyFill="1" applyBorder="1" applyAlignment="1" applyProtection="1">
      <alignment horizontal="center"/>
    </xf>
    <xf numFmtId="0" fontId="5" fillId="25" borderId="16" xfId="68" applyFont="1" applyFill="1" applyBorder="1" applyAlignment="1" applyProtection="1">
      <alignment horizontal="left" vertical="center" indent="2"/>
    </xf>
    <xf numFmtId="0" fontId="5" fillId="25" borderId="17" xfId="68" applyFont="1" applyFill="1" applyBorder="1" applyAlignment="1" applyProtection="1">
      <alignment horizontal="left" vertical="center" indent="2"/>
    </xf>
    <xf numFmtId="0" fontId="2" fillId="0" borderId="20" xfId="68" quotePrefix="1" applyFont="1" applyBorder="1" applyAlignment="1" applyProtection="1">
      <alignment horizontal="center"/>
      <protection locked="0"/>
    </xf>
    <xf numFmtId="0" fontId="2" fillId="0" borderId="19" xfId="68" applyFont="1" applyBorder="1" applyAlignment="1" applyProtection="1">
      <alignment horizontal="center"/>
      <protection locked="0"/>
    </xf>
    <xf numFmtId="0" fontId="2" fillId="0" borderId="16" xfId="68" applyFont="1" applyFill="1" applyBorder="1" applyAlignment="1" applyProtection="1">
      <alignment horizontal="center"/>
    </xf>
    <xf numFmtId="0" fontId="2" fillId="0" borderId="15" xfId="68" applyFont="1" applyFill="1" applyBorder="1" applyAlignment="1" applyProtection="1">
      <alignment horizontal="center"/>
    </xf>
    <xf numFmtId="0" fontId="1" fillId="0" borderId="19" xfId="208" applyFont="1" applyBorder="1" applyAlignment="1" applyProtection="1">
      <alignment horizontal="center"/>
    </xf>
    <xf numFmtId="0" fontId="2" fillId="0" borderId="20" xfId="68" applyFont="1" applyBorder="1" applyAlignment="1" applyProtection="1">
      <alignment horizontal="center"/>
      <protection locked="0"/>
    </xf>
    <xf numFmtId="0" fontId="44" fillId="0" borderId="0" xfId="68" applyFont="1" applyBorder="1" applyAlignment="1" applyProtection="1">
      <alignment horizontal="center"/>
      <protection locked="0"/>
    </xf>
    <xf numFmtId="0" fontId="44" fillId="0" borderId="19" xfId="68" applyFont="1" applyBorder="1" applyAlignment="1" applyProtection="1">
      <alignment horizontal="center"/>
      <protection locked="0"/>
    </xf>
    <xf numFmtId="0" fontId="44" fillId="0" borderId="17" xfId="68" applyFont="1" applyBorder="1" applyAlignment="1" applyProtection="1">
      <alignment horizontal="center"/>
    </xf>
    <xf numFmtId="0" fontId="44" fillId="0" borderId="15" xfId="68" applyFont="1" applyBorder="1" applyAlignment="1" applyProtection="1">
      <alignment horizontal="center"/>
    </xf>
    <xf numFmtId="0" fontId="5" fillId="25" borderId="13" xfId="208" applyFont="1" applyFill="1" applyBorder="1" applyAlignment="1" applyProtection="1">
      <alignment horizontal="center"/>
    </xf>
  </cellXfs>
  <cellStyles count="547">
    <cellStyle name="20% - Accent1" xfId="296"/>
    <cellStyle name="20% - Accent1 2" xfId="297"/>
    <cellStyle name="20% - Accent1 2 2" xfId="433"/>
    <cellStyle name="20% - Accent1 3" xfId="434"/>
    <cellStyle name="20% - Accent2" xfId="298"/>
    <cellStyle name="20% - Accent2 2" xfId="299"/>
    <cellStyle name="20% - Accent2 2 2" xfId="435"/>
    <cellStyle name="20% - Accent2 3" xfId="436"/>
    <cellStyle name="20% - Accent3" xfId="300"/>
    <cellStyle name="20% - Accent3 2" xfId="301"/>
    <cellStyle name="20% - Accent3 2 2" xfId="437"/>
    <cellStyle name="20% - Accent3 3" xfId="438"/>
    <cellStyle name="20% - Accent4" xfId="302"/>
    <cellStyle name="20% - Accent4 2" xfId="303"/>
    <cellStyle name="20% - Accent4 2 2" xfId="439"/>
    <cellStyle name="20% - Accent4 3" xfId="440"/>
    <cellStyle name="20% - Accent5" xfId="304"/>
    <cellStyle name="20% - Accent5 2" xfId="305"/>
    <cellStyle name="20% - Accent5 2 2" xfId="441"/>
    <cellStyle name="20% - Accent5 3" xfId="442"/>
    <cellStyle name="20% - Accent6" xfId="306"/>
    <cellStyle name="20% - Accent6 2" xfId="307"/>
    <cellStyle name="20% - Accent6 2 2" xfId="443"/>
    <cellStyle name="20% - Accent6 3" xfId="444"/>
    <cellStyle name="20% - Énfasis1 2" xfId="22"/>
    <cellStyle name="20% - Énfasis1 2 2" xfId="308"/>
    <cellStyle name="20% - Énfasis1 2 2 2" xfId="445"/>
    <cellStyle name="20% - Énfasis1 2 3" xfId="446"/>
    <cellStyle name="20% - Énfasis2 2" xfId="23"/>
    <cellStyle name="20% - Énfasis2 2 2" xfId="309"/>
    <cellStyle name="20% - Énfasis2 2 2 2" xfId="447"/>
    <cellStyle name="20% - Énfasis2 2 3" xfId="448"/>
    <cellStyle name="20% - Énfasis3 2" xfId="24"/>
    <cellStyle name="20% - Énfasis3 2 2" xfId="310"/>
    <cellStyle name="20% - Énfasis3 2 2 2" xfId="449"/>
    <cellStyle name="20% - Énfasis3 2 3" xfId="450"/>
    <cellStyle name="20% - Énfasis4 2" xfId="25"/>
    <cellStyle name="20% - Énfasis4 2 2" xfId="311"/>
    <cellStyle name="20% - Énfasis4 2 2 2" xfId="451"/>
    <cellStyle name="20% - Énfasis4 2 3" xfId="452"/>
    <cellStyle name="20% - Énfasis5 2" xfId="26"/>
    <cellStyle name="20% - Énfasis5 2 2" xfId="312"/>
    <cellStyle name="20% - Énfasis5 2 2 2" xfId="453"/>
    <cellStyle name="20% - Énfasis5 2 3" xfId="454"/>
    <cellStyle name="20% - Énfasis6 2" xfId="27"/>
    <cellStyle name="20% - Énfasis6 2 2" xfId="313"/>
    <cellStyle name="20% - Énfasis6 2 2 2" xfId="455"/>
    <cellStyle name="20% - Énfasis6 2 3" xfId="456"/>
    <cellStyle name="40% - Accent1" xfId="314"/>
    <cellStyle name="40% - Accent1 2" xfId="315"/>
    <cellStyle name="40% - Accent1 2 2" xfId="457"/>
    <cellStyle name="40% - Accent1 3" xfId="458"/>
    <cellStyle name="40% - Accent2" xfId="316"/>
    <cellStyle name="40% - Accent2 2" xfId="317"/>
    <cellStyle name="40% - Accent2 2 2" xfId="459"/>
    <cellStyle name="40% - Accent2 3" xfId="460"/>
    <cellStyle name="40% - Accent3" xfId="318"/>
    <cellStyle name="40% - Accent3 2" xfId="319"/>
    <cellStyle name="40% - Accent3 2 2" xfId="461"/>
    <cellStyle name="40% - Accent3 3" xfId="462"/>
    <cellStyle name="40% - Accent4" xfId="320"/>
    <cellStyle name="40% - Accent4 2" xfId="321"/>
    <cellStyle name="40% - Accent4 2 2" xfId="463"/>
    <cellStyle name="40% - Accent4 3" xfId="464"/>
    <cellStyle name="40% - Accent5" xfId="322"/>
    <cellStyle name="40% - Accent5 2" xfId="323"/>
    <cellStyle name="40% - Accent5 2 2" xfId="465"/>
    <cellStyle name="40% - Accent5 3" xfId="466"/>
    <cellStyle name="40% - Accent6" xfId="324"/>
    <cellStyle name="40% - Accent6 2" xfId="325"/>
    <cellStyle name="40% - Accent6 2 2" xfId="467"/>
    <cellStyle name="40% - Accent6 3" xfId="468"/>
    <cellStyle name="40% - Énfasis1 2" xfId="28"/>
    <cellStyle name="40% - Énfasis1 2 2" xfId="326"/>
    <cellStyle name="40% - Énfasis1 2 2 2" xfId="469"/>
    <cellStyle name="40% - Énfasis1 2 3" xfId="470"/>
    <cellStyle name="40% - Énfasis2 2" xfId="29"/>
    <cellStyle name="40% - Énfasis2 2 2" xfId="327"/>
    <cellStyle name="40% - Énfasis2 2 2 2" xfId="471"/>
    <cellStyle name="40% - Énfasis2 2 3" xfId="472"/>
    <cellStyle name="40% - Énfasis3 2" xfId="30"/>
    <cellStyle name="40% - Énfasis3 2 2" xfId="328"/>
    <cellStyle name="40% - Énfasis3 2 2 2" xfId="473"/>
    <cellStyle name="40% - Énfasis3 2 3" xfId="474"/>
    <cellStyle name="40% - Énfasis4 2" xfId="31"/>
    <cellStyle name="40% - Énfasis4 2 2" xfId="329"/>
    <cellStyle name="40% - Énfasis4 2 2 2" xfId="475"/>
    <cellStyle name="40% - Énfasis4 2 3" xfId="476"/>
    <cellStyle name="40% - Énfasis5 2" xfId="32"/>
    <cellStyle name="40% - Énfasis5 2 2" xfId="330"/>
    <cellStyle name="40% - Énfasis5 2 2 2" xfId="477"/>
    <cellStyle name="40% - Énfasis5 2 3" xfId="478"/>
    <cellStyle name="40% - Énfasis6 2" xfId="33"/>
    <cellStyle name="40% - Énfasis6 2 2" xfId="331"/>
    <cellStyle name="40% - Énfasis6 2 2 2" xfId="479"/>
    <cellStyle name="40% - Énfasis6 2 3" xfId="480"/>
    <cellStyle name="60% - Accent1" xfId="332"/>
    <cellStyle name="60% - Accent1 2" xfId="333"/>
    <cellStyle name="60% - Accent2" xfId="334"/>
    <cellStyle name="60% - Accent2 2" xfId="335"/>
    <cellStyle name="60% - Accent3" xfId="336"/>
    <cellStyle name="60% - Accent3 2" xfId="337"/>
    <cellStyle name="60% - Accent4" xfId="338"/>
    <cellStyle name="60% - Accent4 2" xfId="339"/>
    <cellStyle name="60% - Accent5" xfId="340"/>
    <cellStyle name="60% - Accent5 2" xfId="341"/>
    <cellStyle name="60% - Accent6" xfId="342"/>
    <cellStyle name="60% - Accent6 2" xfId="343"/>
    <cellStyle name="60% - Énfasis1 2" xfId="34"/>
    <cellStyle name="60% - Énfasis1 2 2" xfId="344"/>
    <cellStyle name="60% - Énfasis2 2" xfId="35"/>
    <cellStyle name="60% - Énfasis2 2 2" xfId="345"/>
    <cellStyle name="60% - Énfasis3 2" xfId="36"/>
    <cellStyle name="60% - Énfasis3 2 2" xfId="346"/>
    <cellStyle name="60% - Énfasis4 2" xfId="37"/>
    <cellStyle name="60% - Énfasis4 2 2" xfId="347"/>
    <cellStyle name="60% - Énfasis5 2" xfId="38"/>
    <cellStyle name="60% - Énfasis5 2 2" xfId="348"/>
    <cellStyle name="60% - Énfasis6 2" xfId="39"/>
    <cellStyle name="60% - Énfasis6 2 2" xfId="349"/>
    <cellStyle name="Accent1" xfId="350"/>
    <cellStyle name="Accent1 2" xfId="351"/>
    <cellStyle name="Accent2" xfId="352"/>
    <cellStyle name="Accent2 2" xfId="353"/>
    <cellStyle name="Accent3" xfId="354"/>
    <cellStyle name="Accent3 2" xfId="355"/>
    <cellStyle name="Accent4" xfId="356"/>
    <cellStyle name="Accent4 2" xfId="357"/>
    <cellStyle name="Accent5" xfId="358"/>
    <cellStyle name="Accent5 2" xfId="359"/>
    <cellStyle name="Accent6" xfId="360"/>
    <cellStyle name="Accent6 2" xfId="361"/>
    <cellStyle name="Bad" xfId="362"/>
    <cellStyle name="Bad 2" xfId="363"/>
    <cellStyle name="Buena 2" xfId="40"/>
    <cellStyle name="Buena 2 2" xfId="364"/>
    <cellStyle name="Calculation" xfId="365"/>
    <cellStyle name="Calculation 2" xfId="366"/>
    <cellStyle name="Cálculo 2" xfId="41"/>
    <cellStyle name="Cálculo 2 2" xfId="367"/>
    <cellStyle name="Celda de comprobación 2" xfId="42"/>
    <cellStyle name="Celda de comprobación 2 2" xfId="368"/>
    <cellStyle name="Celda vinculada 2" xfId="43"/>
    <cellStyle name="Celda vinculada 2 2" xfId="369"/>
    <cellStyle name="Check Cell" xfId="370"/>
    <cellStyle name="Check Cell 2" xfId="371"/>
    <cellStyle name="CIENTOS" xfId="151"/>
    <cellStyle name="CIENTOS 2D" xfId="152"/>
    <cellStyle name="CIENTOS 3D" xfId="153"/>
    <cellStyle name="CIENTOS 4D" xfId="154"/>
    <cellStyle name="CIENTOS_Acta 01 Sep15 a Oct 31_07 Rogelio" xfId="155"/>
    <cellStyle name="Comma" xfId="4"/>
    <cellStyle name="Comma [0]" xfId="372"/>
    <cellStyle name="Comma0" xfId="156"/>
    <cellStyle name="Comma0 - Modelo5" xfId="157"/>
    <cellStyle name="Comma1 - Modelo1" xfId="158"/>
    <cellStyle name="Curren - Modelo2" xfId="159"/>
    <cellStyle name="Curren - Modelo6" xfId="160"/>
    <cellStyle name="Currency" xfId="5"/>
    <cellStyle name="Currency [0]" xfId="373"/>
    <cellStyle name="Currency0" xfId="161"/>
    <cellStyle name="Date" xfId="6"/>
    <cellStyle name="Date - Modelo4" xfId="162"/>
    <cellStyle name="Encabezado 4 2" xfId="44"/>
    <cellStyle name="Encabezado 4 2 2" xfId="374"/>
    <cellStyle name="Énfasis1 2" xfId="45"/>
    <cellStyle name="Énfasis1 2 2" xfId="375"/>
    <cellStyle name="Énfasis2 2" xfId="46"/>
    <cellStyle name="Énfasis2 2 2" xfId="376"/>
    <cellStyle name="Énfasis3 2" xfId="47"/>
    <cellStyle name="Énfasis3 2 2" xfId="377"/>
    <cellStyle name="Énfasis4 2" xfId="48"/>
    <cellStyle name="Énfasis4 2 2" xfId="378"/>
    <cellStyle name="Énfasis5 2" xfId="49"/>
    <cellStyle name="Énfasis5 2 2" xfId="379"/>
    <cellStyle name="Énfasis6 2" xfId="50"/>
    <cellStyle name="Énfasis6 2 2" xfId="380"/>
    <cellStyle name="Entrada 2" xfId="51"/>
    <cellStyle name="Entrada 2 2" xfId="381"/>
    <cellStyle name="Estilo 1" xfId="382"/>
    <cellStyle name="Estilo 2" xfId="383"/>
    <cellStyle name="Estilo 3" xfId="384"/>
    <cellStyle name="Euro" xfId="7"/>
    <cellStyle name="Euro 2" xfId="52"/>
    <cellStyle name="Euro 2 2" xfId="65"/>
    <cellStyle name="Euro 3" xfId="163"/>
    <cellStyle name="Euro 4" xfId="164"/>
    <cellStyle name="Euro 5" xfId="165"/>
    <cellStyle name="Euro_ACTAS DE OBRA CONTRATO" xfId="166"/>
    <cellStyle name="Explanatory Text" xfId="385"/>
    <cellStyle name="Explanatory Text 2" xfId="386"/>
    <cellStyle name="F2" xfId="8"/>
    <cellStyle name="F3" xfId="9"/>
    <cellStyle name="F4" xfId="10"/>
    <cellStyle name="F5" xfId="11"/>
    <cellStyle name="F6" xfId="12"/>
    <cellStyle name="F7" xfId="13"/>
    <cellStyle name="F8" xfId="14"/>
    <cellStyle name="Fixed" xfId="15"/>
    <cellStyle name="Good" xfId="387"/>
    <cellStyle name="Good 2" xfId="388"/>
    <cellStyle name="Heading 1" xfId="167"/>
    <cellStyle name="Heading 1 2" xfId="389"/>
    <cellStyle name="Heading 1 3" xfId="390"/>
    <cellStyle name="Heading 2" xfId="168"/>
    <cellStyle name="Heading 2 2" xfId="391"/>
    <cellStyle name="Heading 2 3" xfId="392"/>
    <cellStyle name="Heading 3" xfId="393"/>
    <cellStyle name="Heading 3 2" xfId="394"/>
    <cellStyle name="Heading 4" xfId="395"/>
    <cellStyle name="Heading 4 2" xfId="396"/>
    <cellStyle name="Heading1" xfId="16"/>
    <cellStyle name="Heading2" xfId="17"/>
    <cellStyle name="Hipervínculo 2" xfId="75"/>
    <cellStyle name="Hipervínculo 2 2" xfId="76"/>
    <cellStyle name="Hipervínculo 2 3" xfId="77"/>
    <cellStyle name="Hipervínculo 2 4" xfId="78"/>
    <cellStyle name="Hipervínculo 3" xfId="79"/>
    <cellStyle name="Hipervínculo 3 2" xfId="169"/>
    <cellStyle name="Hipervínculo 4" xfId="80"/>
    <cellStyle name="Hipervínculo 4 2" xfId="81"/>
    <cellStyle name="Hipervínculo 4 3" xfId="82"/>
    <cellStyle name="Hipervínculo 5" xfId="83"/>
    <cellStyle name="Hipervínculo 5 2" xfId="84"/>
    <cellStyle name="Hipervínculo 6" xfId="85"/>
    <cellStyle name="Hipervínculo 6 2" xfId="86"/>
    <cellStyle name="Hipervínculo 7" xfId="170"/>
    <cellStyle name="Incorrecto 2" xfId="53"/>
    <cellStyle name="Incorrecto 2 2" xfId="397"/>
    <cellStyle name="Input" xfId="398"/>
    <cellStyle name="Input 2" xfId="399"/>
    <cellStyle name="Linked Cell" xfId="400"/>
    <cellStyle name="Linked Cell 2" xfId="401"/>
    <cellStyle name="MILE DE MILLONES" xfId="171"/>
    <cellStyle name="MILES" xfId="172"/>
    <cellStyle name="Millares [0] 2" xfId="173"/>
    <cellStyle name="Millares [0] 2 2" xfId="174"/>
    <cellStyle name="Millares [0] 2 2 2" xfId="489"/>
    <cellStyle name="Millares [0] 2 2 2 2" xfId="490"/>
    <cellStyle name="Millares [0] 2 3" xfId="175"/>
    <cellStyle name="Millares [0] 2 3 2" xfId="491"/>
    <cellStyle name="Millares [0] 2 3 2 2" xfId="492"/>
    <cellStyle name="Millares [0] 2 4" xfId="176"/>
    <cellStyle name="Millares [0] 2 4 2" xfId="493"/>
    <cellStyle name="Millares [0] 2 4 2 2" xfId="494"/>
    <cellStyle name="Millares [0] 2 5" xfId="177"/>
    <cellStyle name="Millares [0] 2 5 2" xfId="495"/>
    <cellStyle name="Millares [0] 2 5 2 2" xfId="496"/>
    <cellStyle name="Millares [0] 2 6" xfId="497"/>
    <cellStyle name="Millares [0] 2 6 2" xfId="498"/>
    <cellStyle name="Millares 10" xfId="178"/>
    <cellStyle name="Millares 11" xfId="179"/>
    <cellStyle name="Millares 12" xfId="180"/>
    <cellStyle name="Millares 13" xfId="181"/>
    <cellStyle name="Millares 14" xfId="182"/>
    <cellStyle name="Millares 15" xfId="183"/>
    <cellStyle name="Millares 2" xfId="3"/>
    <cellStyle name="Millares 2 2" xfId="499"/>
    <cellStyle name="Millares 2 2 2" xfId="500"/>
    <cellStyle name="Millares 2 2 2 2" xfId="501"/>
    <cellStyle name="Millares 2 2 3" xfId="502"/>
    <cellStyle name="Millares 3" xfId="184"/>
    <cellStyle name="Millares 3 2" xfId="185"/>
    <cellStyle name="Millares 3 2 2" xfId="503"/>
    <cellStyle name="Millares 3 2 2 2" xfId="504"/>
    <cellStyle name="Millares 4" xfId="186"/>
    <cellStyle name="Millares 5" xfId="187"/>
    <cellStyle name="Millares 6" xfId="188"/>
    <cellStyle name="Millares 7" xfId="189"/>
    <cellStyle name="Millares 8" xfId="190"/>
    <cellStyle name="Millares 9" xfId="191"/>
    <cellStyle name="MILLONES" xfId="192"/>
    <cellStyle name="Moneda 10" xfId="193"/>
    <cellStyle name="Moneda 11" xfId="194"/>
    <cellStyle name="Moneda 12" xfId="195"/>
    <cellStyle name="Moneda 13" xfId="196"/>
    <cellStyle name="Moneda 2" xfId="197"/>
    <cellStyle name="Moneda 3" xfId="198"/>
    <cellStyle name="Moneda 4" xfId="199"/>
    <cellStyle name="Moneda 5" xfId="200"/>
    <cellStyle name="Moneda 6" xfId="201"/>
    <cellStyle name="Moneda 7" xfId="202"/>
    <cellStyle name="Moneda 8" xfId="203"/>
    <cellStyle name="Moneda 9" xfId="204"/>
    <cellStyle name="Monetario0" xfId="205"/>
    <cellStyle name="Neutral 2" xfId="54"/>
    <cellStyle name="Neutral 2 2" xfId="402"/>
    <cellStyle name="Nïrmal_PROINVER" xfId="206"/>
    <cellStyle name="No. punto" xfId="207"/>
    <cellStyle name="Normal" xfId="0" builtinId="0"/>
    <cellStyle name="Normal 10" xfId="87"/>
    <cellStyle name="Normal 10 2" xfId="208"/>
    <cellStyle name="Normal 10 2 2" xfId="505"/>
    <cellStyle name="Normal 10 3" xfId="506"/>
    <cellStyle name="Normal 10 4" xfId="507"/>
    <cellStyle name="Normal 11" xfId="209"/>
    <cellStyle name="Normal 11 2" xfId="210"/>
    <cellStyle name="Normal 12" xfId="508"/>
    <cellStyle name="Normal 12 2" xfId="509"/>
    <cellStyle name="Normal 12 2 2" xfId="510"/>
    <cellStyle name="Normal 12 3" xfId="511"/>
    <cellStyle name="Normal 13" xfId="512"/>
    <cellStyle name="Normal 14" xfId="546"/>
    <cellStyle name="Normal 2" xfId="1"/>
    <cellStyle name="Normal 2 10" xfId="211"/>
    <cellStyle name="Normal 2 10 2" xfId="150"/>
    <cellStyle name="Normal 2 2" xfId="73"/>
    <cellStyle name="Normal 2 2 2" xfId="88"/>
    <cellStyle name="Normal 2 2 2 2" xfId="89"/>
    <cellStyle name="Normal 2 2 2 2 2" xfId="212"/>
    <cellStyle name="Normal 2 2 2 2 3" xfId="213"/>
    <cellStyle name="Normal 2 2 2 3" xfId="90"/>
    <cellStyle name="Normal 2 2 2 3 2" xfId="214"/>
    <cellStyle name="Normal 2 2 2 3 3" xfId="215"/>
    <cellStyle name="Normal 2 2 2 4" xfId="91"/>
    <cellStyle name="Normal 2 2 2 4 2" xfId="216"/>
    <cellStyle name="Normal 2 2 2 5" xfId="92"/>
    <cellStyle name="Normal 2 2 2 5 2" xfId="217"/>
    <cellStyle name="Normal 2 2 2 6" xfId="218"/>
    <cellStyle name="Normal 2 2 3" xfId="93"/>
    <cellStyle name="Normal 2 2 3 2" xfId="94"/>
    <cellStyle name="Normal 2 2 3 3" xfId="219"/>
    <cellStyle name="Normal 2 2 3 3 2" xfId="220"/>
    <cellStyle name="Normal 2 2 4" xfId="95"/>
    <cellStyle name="Normal 2 2 4 2" xfId="96"/>
    <cellStyle name="Normal 2 2 4 2 2" xfId="97"/>
    <cellStyle name="Normal 2 2 4 3" xfId="221"/>
    <cellStyle name="Normal 2 2 4 3 2" xfId="222"/>
    <cellStyle name="Normal 2 2 5" xfId="98"/>
    <cellStyle name="Normal 2 2 5 2" xfId="513"/>
    <cellStyle name="Normal 2 2 6" xfId="514"/>
    <cellStyle name="Normal 2 3" xfId="99"/>
    <cellStyle name="Normal 2 3 10" xfId="223"/>
    <cellStyle name="Normal 2 3 10 2" xfId="224"/>
    <cellStyle name="Normal 2 3 10 2 2" xfId="225"/>
    <cellStyle name="Normal 2 3 11" xfId="226"/>
    <cellStyle name="Normal 2 3 12" xfId="227"/>
    <cellStyle name="Normal 2 3 13" xfId="228"/>
    <cellStyle name="Normal 2 3 14" xfId="229"/>
    <cellStyle name="Normal 2 3 15" xfId="230"/>
    <cellStyle name="Normal 2 3 16" xfId="231"/>
    <cellStyle name="Normal 2 3 17" xfId="232"/>
    <cellStyle name="Normal 2 3 17 2" xfId="233"/>
    <cellStyle name="Normal 2 3 17 3" xfId="234"/>
    <cellStyle name="Normal 2 3 18" xfId="235"/>
    <cellStyle name="Normal 2 3 2" xfId="100"/>
    <cellStyle name="Normal 2 3 3" xfId="68"/>
    <cellStyle name="Normal 2 3 3 2" xfId="236"/>
    <cellStyle name="Normal 2 3 4" xfId="237"/>
    <cellStyle name="Normal 2 3 5" xfId="238"/>
    <cellStyle name="Normal 2 3 5 2" xfId="239"/>
    <cellStyle name="Normal 2 3 5 2 2" xfId="240"/>
    <cellStyle name="Normal 2 3 5 2 2 2" xfId="241"/>
    <cellStyle name="Normal 2 3 5 3" xfId="242"/>
    <cellStyle name="Normal 2 3 5 4" xfId="243"/>
    <cellStyle name="Normal 2 3 5 5" xfId="244"/>
    <cellStyle name="Normal 2 3 5 6" xfId="245"/>
    <cellStyle name="Normal 2 3 5 7" xfId="246"/>
    <cellStyle name="Normal 2 3 5 7 2" xfId="247"/>
    <cellStyle name="Normal 2 3 5 7 2 2" xfId="248"/>
    <cellStyle name="Normal 2 3 5 7 2 2 2" xfId="249"/>
    <cellStyle name="Normal 2 3 5 7 2 2 3" xfId="250"/>
    <cellStyle name="Normal 2 3 5 7 3" xfId="251"/>
    <cellStyle name="Normal 2 3 5 7 4" xfId="252"/>
    <cellStyle name="Normal 2 3 5 7 5" xfId="253"/>
    <cellStyle name="Normal 2 3 5 7 6" xfId="254"/>
    <cellStyle name="Normal 2 3 5 7 7" xfId="255"/>
    <cellStyle name="Normal 2 3 5 7 8" xfId="256"/>
    <cellStyle name="Normal 2 3 5 7 8 2" xfId="257"/>
    <cellStyle name="Normal 2 3 5 7 8 3" xfId="258"/>
    <cellStyle name="Normal 2 3 5 7 8 4" xfId="259"/>
    <cellStyle name="Normal 2 3 5 7 8 4 2" xfId="260"/>
    <cellStyle name="Normal 2 3 5 7 8 4 3" xfId="261"/>
    <cellStyle name="Normal 2 3 5 7 8 4 3 2" xfId="262"/>
    <cellStyle name="Normal 2 3 5 7 8 4 3 3" xfId="263"/>
    <cellStyle name="Normal 2 3 5 7 8 4 3 3 2" xfId="264"/>
    <cellStyle name="Normal 2 3 5 7 8 4 4" xfId="265"/>
    <cellStyle name="Normal 2 3 6" xfId="266"/>
    <cellStyle name="Normal 2 3 7" xfId="267"/>
    <cellStyle name="Normal 2 3 8" xfId="268"/>
    <cellStyle name="Normal 2 3 9" xfId="269"/>
    <cellStyle name="Normal 2 4" xfId="71"/>
    <cellStyle name="Normal 2 4 2" xfId="74"/>
    <cellStyle name="Normal 2 4 3" xfId="270"/>
    <cellStyle name="Normal 2 4 4" xfId="271"/>
    <cellStyle name="Normal 2 5" xfId="101"/>
    <cellStyle name="Normal 2 5 2" xfId="102"/>
    <cellStyle name="Normal 2 5 2 2" xfId="103"/>
    <cellStyle name="Normal 2 6" xfId="104"/>
    <cellStyle name="Normal 2 6 2" xfId="105"/>
    <cellStyle name="Normal 2 6 2 2" xfId="106"/>
    <cellStyle name="Normal 2 6 3" xfId="107"/>
    <cellStyle name="Normal 2 6 3 2" xfId="108"/>
    <cellStyle name="Normal 2 6 3 2 2" xfId="109"/>
    <cellStyle name="Normal 2 6 3 2 3" xfId="110"/>
    <cellStyle name="Normal 2 6 3 2 3 2" xfId="111"/>
    <cellStyle name="Normal 2 6 3 2 3 2 2" xfId="112"/>
    <cellStyle name="Normal 2 6 3 2 4" xfId="113"/>
    <cellStyle name="Normal 2 6 3 2 4 2" xfId="114"/>
    <cellStyle name="Normal 2 6 4" xfId="115"/>
    <cellStyle name="Normal 2 6 5" xfId="116"/>
    <cellStyle name="Normal 2 6 5 2" xfId="272"/>
    <cellStyle name="Normal 2 6 6" xfId="117"/>
    <cellStyle name="Normal 2 6 7" xfId="118"/>
    <cellStyle name="Normal 2 6 7 2" xfId="119"/>
    <cellStyle name="Normal 2 6 7 3" xfId="120"/>
    <cellStyle name="Normal 2 6 8" xfId="121"/>
    <cellStyle name="Normal 2 6 8 2" xfId="122"/>
    <cellStyle name="Normal 2 6 8 2 2" xfId="123"/>
    <cellStyle name="Normal 2 6 8 2 3" xfId="124"/>
    <cellStyle name="Normal 2 6 8 2 4" xfId="273"/>
    <cellStyle name="Normal 2 6 8 3" xfId="125"/>
    <cellStyle name="Normal 2 7" xfId="126"/>
    <cellStyle name="Normal 2 7 2" xfId="127"/>
    <cellStyle name="Normal 2 7 3" xfId="128"/>
    <cellStyle name="Normal 2 7 4" xfId="129"/>
    <cellStyle name="Normal 2 8" xfId="130"/>
    <cellStyle name="Normal 2 8 2" xfId="274"/>
    <cellStyle name="Normal 2 8 2 2" xfId="515"/>
    <cellStyle name="Normal 2 8 3" xfId="516"/>
    <cellStyle name="Normal 2 9" xfId="275"/>
    <cellStyle name="Normal 2 9 2" xfId="517"/>
    <cellStyle name="Normal 2 9 2 2" xfId="518"/>
    <cellStyle name="Normal 2 9 3" xfId="519"/>
    <cellStyle name="Normal 2_138-09" xfId="403"/>
    <cellStyle name="Normal 3" xfId="20"/>
    <cellStyle name="Normal 3 2" xfId="21"/>
    <cellStyle name="Normal 3 3" xfId="131"/>
    <cellStyle name="Normal 3 3 2" xfId="404"/>
    <cellStyle name="Normal 3 3 2 2" xfId="520"/>
    <cellStyle name="Normal 3 3 3" xfId="405"/>
    <cellStyle name="Normal 3 4" xfId="406"/>
    <cellStyle name="Normal 3 5" xfId="407"/>
    <cellStyle name="Normal 3 5 2" xfId="408"/>
    <cellStyle name="Normal 3 6" xfId="481"/>
    <cellStyle name="Normal 3_003-10" xfId="409"/>
    <cellStyle name="Normal 4" xfId="72"/>
    <cellStyle name="Normal 4 2" xfId="132"/>
    <cellStyle name="Normal 4 2 2" xfId="521"/>
    <cellStyle name="Normal 4 3" xfId="410"/>
    <cellStyle name="Normal 4 4" xfId="544"/>
    <cellStyle name="Normal 5" xfId="133"/>
    <cellStyle name="Normal 5 2" xfId="276"/>
    <cellStyle name="Normal 5 3" xfId="277"/>
    <cellStyle name="Normal 5 4" xfId="278"/>
    <cellStyle name="Normal 5 5" xfId="279"/>
    <cellStyle name="Normal 5 6" xfId="69"/>
    <cellStyle name="Normal 6" xfId="134"/>
    <cellStyle name="Normal 6 2" xfId="135"/>
    <cellStyle name="Normal 6 2 2" xfId="136"/>
    <cellStyle name="Normal 6 2 2 2" xfId="482"/>
    <cellStyle name="Normal 6 2 3" xfId="483"/>
    <cellStyle name="Normal 6 3" xfId="280"/>
    <cellStyle name="Normal 6 3 2" xfId="522"/>
    <cellStyle name="Normal 6 3 2 2" xfId="523"/>
    <cellStyle name="Normal 6 3 3" xfId="524"/>
    <cellStyle name="Normal 6 4" xfId="281"/>
    <cellStyle name="Normal 6 4 2" xfId="525"/>
    <cellStyle name="Normal 6 4 2 2" xfId="526"/>
    <cellStyle name="Normal 6 4 3" xfId="527"/>
    <cellStyle name="Normal 7" xfId="137"/>
    <cellStyle name="Normal 7 2" xfId="528"/>
    <cellStyle name="Normal 7 2 2" xfId="529"/>
    <cellStyle name="Normal 7 3" xfId="530"/>
    <cellStyle name="Normal 8" xfId="138"/>
    <cellStyle name="Normal 8 2" xfId="139"/>
    <cellStyle name="Normal 8 2 2" xfId="531"/>
    <cellStyle name="Normal 8 3" xfId="140"/>
    <cellStyle name="Normal 8 4" xfId="141"/>
    <cellStyle name="Normal 8 4 2" xfId="142"/>
    <cellStyle name="Normal 8 5" xfId="143"/>
    <cellStyle name="Normal 8 6" xfId="144"/>
    <cellStyle name="Normal 9" xfId="145"/>
    <cellStyle name="Normal 9 2" xfId="532"/>
    <cellStyle name="Normal 9 2 2" xfId="533"/>
    <cellStyle name="Normal 9 3" xfId="534"/>
    <cellStyle name="Normal_016-99 2" xfId="431"/>
    <cellStyle name="Normal_074-04" xfId="295"/>
    <cellStyle name="Normal_099-07" xfId="428"/>
    <cellStyle name="Normal_136-07" xfId="430"/>
    <cellStyle name="Normal_199-04" xfId="427"/>
    <cellStyle name="Normal_578-03" xfId="545"/>
    <cellStyle name="Normal_Grad. Lim. Auto 1-4" xfId="70"/>
    <cellStyle name="Normal_humedad" xfId="429"/>
    <cellStyle name="Notas 2" xfId="55"/>
    <cellStyle name="Notas 2 2" xfId="66"/>
    <cellStyle name="Note" xfId="411"/>
    <cellStyle name="Output" xfId="412"/>
    <cellStyle name="Output 2" xfId="413"/>
    <cellStyle name="Percen - Modelo3" xfId="282"/>
    <cellStyle name="Percent" xfId="18"/>
    <cellStyle name="Porcentaje 2" xfId="2"/>
    <cellStyle name="Porcentaje 3" xfId="19"/>
    <cellStyle name="Porcentaje 4" xfId="56"/>
    <cellStyle name="Porcentaje 4 2" xfId="67"/>
    <cellStyle name="Porcentaje 4 2 2" xfId="484"/>
    <cellStyle name="Porcentaje 4 3" xfId="485"/>
    <cellStyle name="Porcentaje 5" xfId="414"/>
    <cellStyle name="Porcentaje 5 2" xfId="486"/>
    <cellStyle name="Porcentaje 6" xfId="415"/>
    <cellStyle name="Porcentaje 7" xfId="432"/>
    <cellStyle name="Porcentual 2" xfId="146"/>
    <cellStyle name="Porcentual 2 2" xfId="283"/>
    <cellStyle name="Porcentual 2 2 2" xfId="284"/>
    <cellStyle name="Porcentual 2 2 3" xfId="285"/>
    <cellStyle name="Porcentual 2 2 4" xfId="286"/>
    <cellStyle name="Porcentual 2 2 5" xfId="535"/>
    <cellStyle name="Porcentual 2 2 5 2" xfId="536"/>
    <cellStyle name="Porcentual 2 2 6" xfId="537"/>
    <cellStyle name="Porcentual 2 3" xfId="287"/>
    <cellStyle name="Porcentual 2 4" xfId="288"/>
    <cellStyle name="Porcentual 2 5" xfId="289"/>
    <cellStyle name="Porcentual 2 6" xfId="290"/>
    <cellStyle name="Porcentual 2 7" xfId="291"/>
    <cellStyle name="Porcentual 2 8" xfId="292"/>
    <cellStyle name="Porcentual 2 8 2" xfId="538"/>
    <cellStyle name="Porcentual 2 8 2 2" xfId="539"/>
    <cellStyle name="Porcentual 2 8 3" xfId="540"/>
    <cellStyle name="Porcentual 2 9" xfId="293"/>
    <cellStyle name="Porcentual 2 9 2" xfId="541"/>
    <cellStyle name="Porcentual 2 9 2 2" xfId="542"/>
    <cellStyle name="Porcentual 2 9 3" xfId="543"/>
    <cellStyle name="Porcentual 3" xfId="147"/>
    <cellStyle name="Porcentual 3 2" xfId="148"/>
    <cellStyle name="Porcentual 3 2 2" xfId="487"/>
    <cellStyle name="Porcentual 3 3" xfId="488"/>
    <cellStyle name="Porcentual 4" xfId="149"/>
    <cellStyle name="resaltado" xfId="294"/>
    <cellStyle name="Salida 2" xfId="57"/>
    <cellStyle name="Salida 2 2" xfId="416"/>
    <cellStyle name="Texto de advertencia 2" xfId="58"/>
    <cellStyle name="Texto de advertencia 2 2" xfId="417"/>
    <cellStyle name="Texto explicativo 2" xfId="59"/>
    <cellStyle name="Texto explicativo 2 2" xfId="418"/>
    <cellStyle name="Title" xfId="419"/>
    <cellStyle name="Title 2" xfId="420"/>
    <cellStyle name="Título 1 2" xfId="61"/>
    <cellStyle name="Título 1 2 2" xfId="421"/>
    <cellStyle name="Título 2 2" xfId="62"/>
    <cellStyle name="Título 2 2 2" xfId="422"/>
    <cellStyle name="Título 3 2" xfId="63"/>
    <cellStyle name="Título 3 2 2" xfId="423"/>
    <cellStyle name="Título 4" xfId="60"/>
    <cellStyle name="Título 4 2" xfId="424"/>
    <cellStyle name="Total 2" xfId="64"/>
    <cellStyle name="Warning Text" xfId="425"/>
    <cellStyle name="Warning Text 2" xfId="426"/>
  </cellStyles>
  <dxfs count="2">
    <dxf>
      <font>
        <color rgb="FF9C0006"/>
      </font>
    </dxf>
    <dxf>
      <font>
        <color rgb="FFC00000"/>
      </font>
    </dxf>
  </dxfs>
  <tableStyles count="0" defaultTableStyle="TableStyleMedium2" defaultPivotStyle="PivotStyleLight16"/>
  <colors>
    <mruColors>
      <color rgb="FF004C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5400">
              <a:solidFill>
                <a:srgbClr val="000000"/>
              </a:solidFill>
              <a:prstDash val="solid"/>
            </a:ln>
          </c:spPr>
          <c:marker>
            <c:symbol val="circle"/>
            <c:size val="5"/>
            <c:spPr>
              <a:solidFill>
                <a:srgbClr val="000000"/>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0-B440-455C-9861-5D8802232EA6}"/>
            </c:ext>
          </c:extLst>
        </c:ser>
        <c:ser>
          <c:idx val="2"/>
          <c:order val="1"/>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1-B440-455C-9861-5D8802232EA6}"/>
            </c:ext>
          </c:extLst>
        </c:ser>
        <c:ser>
          <c:idx val="3"/>
          <c:order val="2"/>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0"/>
          <c:extLst>
            <c:ext xmlns:c16="http://schemas.microsoft.com/office/drawing/2014/chart" uri="{C3380CC4-5D6E-409C-BE32-E72D297353CC}">
              <c16:uniqueId val="{00000002-B440-455C-9861-5D8802232EA6}"/>
            </c:ext>
          </c:extLst>
        </c:ser>
        <c:dLbls>
          <c:showLegendKey val="0"/>
          <c:showVal val="0"/>
          <c:showCatName val="0"/>
          <c:showSerName val="0"/>
          <c:showPercent val="0"/>
          <c:showBubbleSize val="0"/>
        </c:dLbls>
        <c:axId val="-1534236592"/>
        <c:axId val="-1534234416"/>
      </c:scatterChart>
      <c:valAx>
        <c:axId val="-1534236592"/>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4416"/>
        <c:crosses val="autoZero"/>
        <c:crossBetween val="midCat"/>
      </c:valAx>
      <c:valAx>
        <c:axId val="-1534234416"/>
        <c:scaling>
          <c:orientation val="minMax"/>
          <c:max val="100"/>
          <c:min val="0"/>
        </c:scaling>
        <c:delete val="0"/>
        <c:axPos val="l"/>
        <c:majorGridlines>
          <c:spPr>
            <a:ln w="3175">
              <a:solidFill>
                <a:srgbClr val="000000"/>
              </a:solidFill>
              <a:prstDash val="solid"/>
            </a:ln>
          </c:spPr>
        </c:majorGridlines>
        <c:minorGridlines>
          <c:spPr>
            <a:ln w="3175">
              <a:solidFill>
                <a:srgbClr val="000000"/>
              </a:solidFill>
              <a:prstDash val="solid"/>
            </a:ln>
          </c:spPr>
        </c:min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6592"/>
        <c:crosses val="autoZero"/>
        <c:crossBetween val="midCat"/>
        <c:minorUnit val="5"/>
      </c:valAx>
      <c:spPr>
        <a:solidFill>
          <a:srgbClr val="FFFFFF"/>
        </a:solidFill>
        <a:ln w="25400">
          <a:solidFill>
            <a:srgbClr val="00000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oddHeader>&amp;A</c:oddHeader>
      <c:oddFooter>Página &amp;P</c:oddFooter>
    </c:headerFooter>
    <c:pageMargins b="1" l="0.75000000000000988" r="0.75000000000000988" t="1" header="0.511811024" footer="0.511811024"/>
    <c:pageSetup paperSize="9" orientation="landscape" horizontalDpi="180" verticalDpi="18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73296618422394E-2"/>
          <c:y val="0.11711763230940445"/>
          <c:w val="0.74535383632400198"/>
          <c:h val="0.70270579385642762"/>
        </c:manualLayout>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1'!$R$41:$R$52</c:f>
              <c:numCache>
                <c:formatCode>General</c:formatCode>
                <c:ptCount val="12"/>
              </c:numCache>
            </c:numRef>
          </c:yVal>
          <c:smooth val="1"/>
          <c:extLst>
            <c:ext xmlns:c16="http://schemas.microsoft.com/office/drawing/2014/chart" uri="{C3380CC4-5D6E-409C-BE32-E72D297353CC}">
              <c16:uniqueId val="{00000000-AF4F-4281-9F30-816CC73F51B2}"/>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1'!$W$41:$W$52</c:f>
              <c:numCache>
                <c:formatCode>General</c:formatCode>
                <c:ptCount val="12"/>
              </c:numCache>
            </c:numRef>
          </c:yVal>
          <c:smooth val="1"/>
          <c:extLst>
            <c:ext xmlns:c16="http://schemas.microsoft.com/office/drawing/2014/chart" uri="{C3380CC4-5D6E-409C-BE32-E72D297353CC}">
              <c16:uniqueId val="{00000001-AF4F-4281-9F30-816CC73F51B2}"/>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1'!$AB$41:$AB$52</c:f>
              <c:numCache>
                <c:formatCode>General</c:formatCode>
                <c:ptCount val="12"/>
              </c:numCache>
            </c:numRef>
          </c:yVal>
          <c:smooth val="1"/>
          <c:extLst>
            <c:ext xmlns:c16="http://schemas.microsoft.com/office/drawing/2014/chart" uri="{C3380CC4-5D6E-409C-BE32-E72D297353CC}">
              <c16:uniqueId val="{00000002-AF4F-4281-9F30-816CC73F51B2}"/>
            </c:ext>
          </c:extLst>
        </c:ser>
        <c:dLbls>
          <c:showLegendKey val="0"/>
          <c:showVal val="0"/>
          <c:showCatName val="0"/>
          <c:showSerName val="0"/>
          <c:showPercent val="0"/>
          <c:showBubbleSize val="0"/>
        </c:dLbls>
        <c:axId val="-1534233328"/>
        <c:axId val="-1529579792"/>
      </c:scatterChart>
      <c:valAx>
        <c:axId val="-1534233328"/>
        <c:scaling>
          <c:orientation val="minMax"/>
        </c:scaling>
        <c:delete val="0"/>
        <c:axPos val="b"/>
        <c:numFmt formatCode="0.0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CO"/>
          </a:p>
        </c:txPr>
        <c:crossAx val="-1529579792"/>
        <c:crosses val="autoZero"/>
        <c:crossBetween val="midCat"/>
      </c:valAx>
      <c:valAx>
        <c:axId val="-1529579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CO"/>
          </a:p>
        </c:txPr>
        <c:crossAx val="-1534233328"/>
        <c:crosses val="autoZero"/>
        <c:crossBetween val="midCat"/>
      </c:valAx>
      <c:spPr>
        <a:solidFill>
          <a:srgbClr val="C0C0C0"/>
        </a:solidFill>
        <a:ln w="12700">
          <a:solidFill>
            <a:srgbClr val="808080"/>
          </a:solidFill>
          <a:prstDash val="solid"/>
        </a:ln>
      </c:spPr>
    </c:plotArea>
    <c:legend>
      <c:legendPos val="r"/>
      <c:layout>
        <c:manualLayout>
          <c:xMode val="edge"/>
          <c:yMode val="edge"/>
          <c:x val="0.85471406491499224"/>
          <c:y val="0.34657105361829771"/>
          <c:w val="0.13755795981452856"/>
          <c:h val="0.25992829021372332"/>
        </c:manualLayout>
      </c:layout>
      <c:overlay val="0"/>
      <c:spPr>
        <a:solidFill>
          <a:srgbClr val="FFFFFF"/>
        </a:solidFill>
        <a:ln w="3175">
          <a:solidFill>
            <a:srgbClr val="000000"/>
          </a:solidFill>
          <a:prstDash val="solid"/>
        </a:ln>
      </c:spPr>
      <c:txPr>
        <a:bodyPr/>
        <a:lstStyle/>
        <a:p>
          <a:pPr>
            <a:defRPr sz="655" b="0"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s-CO"/>
              <a:t>CBR vs. DENSIDAD</a:t>
            </a:r>
            <a:r>
              <a:rPr lang="es-CO" baseline="0"/>
              <a:t> </a:t>
            </a:r>
            <a:r>
              <a:rPr lang="es-CO"/>
              <a:t>A 0,2"</a:t>
            </a:r>
          </a:p>
        </c:rich>
      </c:tx>
      <c:layout>
        <c:manualLayout>
          <c:xMode val="edge"/>
          <c:yMode val="edge"/>
          <c:x val="0.27009689209409582"/>
          <c:y val="2.0266570913163542E-2"/>
        </c:manualLayout>
      </c:layout>
      <c:overlay val="0"/>
      <c:spPr>
        <a:noFill/>
        <a:ln w="25400">
          <a:noFill/>
        </a:ln>
      </c:spPr>
    </c:title>
    <c:autoTitleDeleted val="0"/>
    <c:plotArea>
      <c:layout>
        <c:manualLayout>
          <c:layoutTarget val="inner"/>
          <c:xMode val="edge"/>
          <c:yMode val="edge"/>
          <c:x val="0.14246918502276207"/>
          <c:y val="9.3511503244504857E-2"/>
          <c:w val="0.80898102927007565"/>
          <c:h val="0.7837335316798858"/>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 CBR 1'!$AW$29:$AY$29</c:f>
            </c:numRef>
          </c:xVal>
          <c:yVal>
            <c:numRef>
              <c:f>' CBR 1'!$AW$26:$AY$26</c:f>
              <c:numCache>
                <c:formatCode>0</c:formatCode>
                <c:ptCount val="3"/>
                <c:pt idx="0">
                  <c:v>0</c:v>
                </c:pt>
                <c:pt idx="1">
                  <c:v>0</c:v>
                </c:pt>
                <c:pt idx="2">
                  <c:v>0</c:v>
                </c:pt>
              </c:numCache>
            </c:numRef>
          </c:yVal>
          <c:smooth val="0"/>
          <c:extLst>
            <c:ext xmlns:c16="http://schemas.microsoft.com/office/drawing/2014/chart" uri="{C3380CC4-5D6E-409C-BE32-E72D297353CC}">
              <c16:uniqueId val="{00000000-6029-4CDB-9F4D-DDBF704FA4E6}"/>
            </c:ext>
          </c:extLst>
        </c:ser>
        <c:dLbls>
          <c:showLegendKey val="0"/>
          <c:showVal val="0"/>
          <c:showCatName val="0"/>
          <c:showSerName val="0"/>
          <c:showPercent val="0"/>
          <c:showBubbleSize val="0"/>
        </c:dLbls>
        <c:axId val="-1529578704"/>
        <c:axId val="-1529583600"/>
      </c:scatterChart>
      <c:valAx>
        <c:axId val="-1529578704"/>
        <c:scaling>
          <c:orientation val="minMax"/>
          <c:max val="120"/>
          <c:min val="10"/>
        </c:scaling>
        <c:delete val="0"/>
        <c:axPos val="b"/>
        <c:majorGridlines>
          <c:spPr>
            <a:ln w="3175">
              <a:solidFill>
                <a:schemeClr val="bg1">
                  <a:lumMod val="50000"/>
                </a:schemeClr>
              </a:solidFill>
              <a:prstDash val="solid"/>
            </a:ln>
          </c:spPr>
        </c:majorGridlines>
        <c:title>
          <c:tx>
            <c:rich>
              <a:bodyPr/>
              <a:lstStyle/>
              <a:p>
                <a:pPr>
                  <a:defRPr sz="700" b="1" i="0" u="none" strike="noStrike" baseline="0">
                    <a:solidFill>
                      <a:srgbClr val="000000"/>
                    </a:solidFill>
                    <a:latin typeface="Arial"/>
                    <a:ea typeface="Arial"/>
                    <a:cs typeface="Arial"/>
                  </a:defRPr>
                </a:pPr>
                <a:r>
                  <a:rPr lang="es-CO" sz="700"/>
                  <a:t>Densida</a:t>
                </a:r>
                <a:r>
                  <a:rPr lang="es-CO" sz="700" baseline="0"/>
                  <a:t> kg/m³</a:t>
                </a:r>
                <a:r>
                  <a:rPr lang="es-CO" sz="700"/>
                  <a:t> </a:t>
                </a:r>
              </a:p>
            </c:rich>
          </c:tx>
          <c:layout>
            <c:manualLayout>
              <c:xMode val="edge"/>
              <c:yMode val="edge"/>
              <c:x val="0.52478060939047955"/>
              <c:y val="0.9372251870898046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529583600"/>
        <c:crosses val="autoZero"/>
        <c:crossBetween val="midCat"/>
        <c:majorUnit val="10"/>
        <c:minorUnit val="1"/>
      </c:valAx>
      <c:valAx>
        <c:axId val="-1529583600"/>
        <c:scaling>
          <c:orientation val="minMax"/>
          <c:min val="1960"/>
        </c:scaling>
        <c:delete val="0"/>
        <c:axPos val="l"/>
        <c:majorGridlines>
          <c:spPr>
            <a:ln w="3175">
              <a:solidFill>
                <a:schemeClr val="bg1">
                  <a:lumMod val="50000"/>
                </a:schemeClr>
              </a:solidFill>
              <a:prstDash val="solid"/>
            </a:ln>
          </c:spPr>
        </c:majorGridlines>
        <c:title>
          <c:tx>
            <c:rich>
              <a:bodyPr/>
              <a:lstStyle/>
              <a:p>
                <a:pPr>
                  <a:defRPr sz="700" b="0" i="0" u="none" strike="noStrike" baseline="0">
                    <a:solidFill>
                      <a:srgbClr val="000000"/>
                    </a:solidFill>
                    <a:latin typeface="Calibri"/>
                    <a:ea typeface="Calibri"/>
                    <a:cs typeface="Calibri"/>
                  </a:defRPr>
                </a:pPr>
                <a:r>
                  <a:rPr lang="es-CO" sz="700" b="1" i="0" u="none" strike="noStrike" baseline="0">
                    <a:solidFill>
                      <a:srgbClr val="000000"/>
                    </a:solidFill>
                    <a:latin typeface="Arial"/>
                    <a:cs typeface="Arial"/>
                  </a:rPr>
                  <a:t>CBR </a:t>
                </a:r>
                <a:endParaRPr lang="es-CO" sz="700" b="1" i="0" u="none" strike="noStrike" baseline="30000">
                  <a:solidFill>
                    <a:srgbClr val="000000"/>
                  </a:solidFill>
                  <a:latin typeface="Arial"/>
                  <a:cs typeface="Arial"/>
                </a:endParaRPr>
              </a:p>
            </c:rich>
          </c:tx>
          <c:layout>
            <c:manualLayout>
              <c:xMode val="edge"/>
              <c:yMode val="edge"/>
              <c:x val="2.3494632538388988E-2"/>
              <c:y val="0.3715401648843056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529578704"/>
        <c:crosses val="autoZero"/>
        <c:crossBetween val="midCat"/>
        <c:majorUnit val="20"/>
        <c:minorUnit val="2"/>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chemeClr val="bg1">
          <a:lumMod val="50000"/>
        </a:schemeClr>
      </a:solidFill>
      <a:prstDash val="solid"/>
    </a:ln>
    <a:effectLst>
      <a:outerShdw blurRad="50800" dist="50800" dir="5400000" algn="ctr" rotWithShape="0">
        <a:srgbClr val="000000">
          <a:alpha val="95000"/>
        </a:srgbClr>
      </a:outerShdw>
      <a:softEdge rad="63500"/>
    </a:effectLst>
    <a:scene3d>
      <a:camera prst="orthographicFront"/>
      <a:lightRig rig="threePt" dir="t"/>
    </a:scene3d>
    <a:sp3d prstMaterial="matte"/>
  </c:spPr>
  <c:txPr>
    <a:bodyPr/>
    <a:lstStyle/>
    <a:p>
      <a:pPr>
        <a:defRPr sz="1150" b="0" i="0" u="none" strike="noStrike" baseline="0">
          <a:solidFill>
            <a:srgbClr val="000000"/>
          </a:solidFill>
          <a:latin typeface="Arial"/>
          <a:ea typeface="Arial"/>
          <a:cs typeface="Arial"/>
        </a:defRPr>
      </a:pPr>
      <a:endParaRPr lang="es-CO"/>
    </a:p>
  </c:txPr>
  <c:printSettings>
    <c:headerFooter alignWithMargins="0"/>
    <c:pageMargins b="1" l="0.7500000000000101" r="0.7500000000000101" t="1" header="0" footer="0"/>
    <c:pageSetup paperSize="256" orientation="landscape" horizontalDpi="360" verticalDpi="36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s-CO"/>
              <a:t>CBR vs. DENSIDAD</a:t>
            </a:r>
            <a:r>
              <a:rPr lang="es-CO" baseline="0"/>
              <a:t> </a:t>
            </a:r>
            <a:r>
              <a:rPr lang="es-CO"/>
              <a:t>A 0,2"</a:t>
            </a:r>
          </a:p>
        </c:rich>
      </c:tx>
      <c:layout>
        <c:manualLayout>
          <c:xMode val="edge"/>
          <c:yMode val="edge"/>
          <c:x val="0.25743878534170889"/>
          <c:y val="2.0266760335255467E-2"/>
        </c:manualLayout>
      </c:layout>
      <c:overlay val="0"/>
      <c:spPr>
        <a:noFill/>
        <a:ln w="25400">
          <a:noFill/>
        </a:ln>
      </c:spPr>
    </c:title>
    <c:autoTitleDeleted val="0"/>
    <c:plotArea>
      <c:layout>
        <c:manualLayout>
          <c:layoutTarget val="inner"/>
          <c:xMode val="edge"/>
          <c:yMode val="edge"/>
          <c:x val="0.13949486604735145"/>
          <c:y val="9.3511444987460599E-2"/>
          <c:w val="0.80491588089242649"/>
          <c:h val="0.78373353167988546"/>
        </c:manualLayout>
      </c:layout>
      <c:scatterChart>
        <c:scatterStyle val="lineMarker"/>
        <c:varyColors val="0"/>
        <c:ser>
          <c:idx val="0"/>
          <c:order val="0"/>
          <c:spPr>
            <a:ln w="15875">
              <a:solidFill>
                <a:srgbClr val="000080"/>
              </a:solidFill>
              <a:prstDash val="solid"/>
            </a:ln>
          </c:spPr>
          <c:marker>
            <c:symbol val="diamond"/>
            <c:size val="5"/>
          </c:marker>
          <c:xVal>
            <c:numRef>
              <c:f>' CBR (2)'!$F$26:$H$26</c:f>
            </c:numRef>
          </c:xVal>
          <c:yVal>
            <c:numRef>
              <c:f>' CBR (2)'!$F$29:$H$29</c:f>
              <c:numCache>
                <c:formatCode>0</c:formatCode>
                <c:ptCount val="3"/>
                <c:pt idx="0">
                  <c:v>0</c:v>
                </c:pt>
                <c:pt idx="1">
                  <c:v>0</c:v>
                </c:pt>
                <c:pt idx="2">
                  <c:v>0</c:v>
                </c:pt>
              </c:numCache>
            </c:numRef>
          </c:yVal>
          <c:smooth val="0"/>
          <c:extLst>
            <c:ext xmlns:c16="http://schemas.microsoft.com/office/drawing/2014/chart" uri="{C3380CC4-5D6E-409C-BE32-E72D297353CC}">
              <c16:uniqueId val="{00000000-D384-4DA4-8E47-CD187A0C9CD7}"/>
            </c:ext>
          </c:extLst>
        </c:ser>
        <c:dLbls>
          <c:showLegendKey val="0"/>
          <c:showVal val="0"/>
          <c:showCatName val="0"/>
          <c:showSerName val="0"/>
          <c:showPercent val="0"/>
          <c:showBubbleSize val="0"/>
        </c:dLbls>
        <c:axId val="-1529581424"/>
        <c:axId val="-1529591216"/>
      </c:scatterChart>
      <c:valAx>
        <c:axId val="-1529581424"/>
        <c:scaling>
          <c:orientation val="minMax"/>
          <c:max val="2000"/>
          <c:min val="1950"/>
        </c:scaling>
        <c:delete val="0"/>
        <c:axPos val="b"/>
        <c:majorGridlines>
          <c:spPr>
            <a:ln w="3175">
              <a:solidFill>
                <a:schemeClr val="bg1">
                  <a:lumMod val="50000"/>
                </a:schemeClr>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r>
                  <a:rPr lang="es-CO" sz="800" b="1" i="0" baseline="0"/>
                  <a:t>DENSIDAD kg/m</a:t>
                </a:r>
                <a:r>
                  <a:rPr lang="es-CO" sz="800" b="1" i="0" baseline="30000"/>
                  <a:t>3</a:t>
                </a:r>
                <a:endParaRPr lang="es-CO" sz="80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700"/>
              </a:p>
            </c:rich>
          </c:tx>
          <c:layout>
            <c:manualLayout>
              <c:xMode val="edge"/>
              <c:yMode val="edge"/>
              <c:x val="0.42401561231175638"/>
              <c:y val="0.845512556233618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529591216"/>
        <c:crosses val="autoZero"/>
        <c:crossBetween val="midCat"/>
        <c:majorUnit val="20"/>
        <c:minorUnit val="1"/>
      </c:valAx>
      <c:valAx>
        <c:axId val="-1529591216"/>
        <c:scaling>
          <c:orientation val="minMax"/>
          <c:max val="130"/>
          <c:min val="0"/>
        </c:scaling>
        <c:delete val="0"/>
        <c:axPos val="l"/>
        <c:majorGridlines>
          <c:spPr>
            <a:ln w="3175">
              <a:solidFill>
                <a:schemeClr val="bg1">
                  <a:lumMod val="50000"/>
                </a:schemeClr>
              </a:solidFill>
              <a:prstDash val="solid"/>
            </a:ln>
          </c:spPr>
        </c:majorGridlines>
        <c:title>
          <c:tx>
            <c:rich>
              <a:bodyPr/>
              <a:lstStyle/>
              <a:p>
                <a:pPr>
                  <a:defRPr sz="700" b="0" i="0" u="none" strike="noStrike" baseline="0">
                    <a:solidFill>
                      <a:srgbClr val="000000"/>
                    </a:solidFill>
                    <a:latin typeface="Calibri"/>
                    <a:ea typeface="Calibri"/>
                    <a:cs typeface="Calibri"/>
                  </a:defRPr>
                </a:pPr>
                <a:r>
                  <a:rPr lang="en-US" sz="1050" b="1" i="0" u="none" strike="noStrike" baseline="30000">
                    <a:solidFill>
                      <a:srgbClr val="000000"/>
                    </a:solidFill>
                    <a:latin typeface="Arial"/>
                    <a:cs typeface="Arial"/>
                  </a:rPr>
                  <a:t>CBR%</a:t>
                </a:r>
                <a:endParaRPr lang="en-US" sz="700" b="1" i="0" u="none" strike="noStrike" baseline="30000">
                  <a:solidFill>
                    <a:srgbClr val="000000"/>
                  </a:solidFill>
                  <a:latin typeface="Arial"/>
                  <a:cs typeface="Arial"/>
                </a:endParaRPr>
              </a:p>
            </c:rich>
          </c:tx>
          <c:layout>
            <c:manualLayout>
              <c:xMode val="edge"/>
              <c:yMode val="edge"/>
              <c:x val="1.968183225086996E-2"/>
              <c:y val="0.38481178470090377"/>
            </c:manualLayout>
          </c:layout>
          <c:overlay val="0"/>
          <c:spPr>
            <a:noFill/>
            <a:ln w="25400">
              <a:noFill/>
            </a:ln>
          </c:spPr>
        </c:title>
        <c:numFmt formatCode="#,##0" sourceLinked="0"/>
        <c:majorTickMark val="out"/>
        <c:minorTickMark val="none"/>
        <c:tickLblPos val="nextTo"/>
        <c:spPr>
          <a:solidFill>
            <a:srgbClr val="FFFFFF"/>
          </a:solidFill>
          <a:ln w="25400">
            <a:noFill/>
            <a:prstDash val="solid"/>
          </a:ln>
        </c:spPr>
        <c:txPr>
          <a:bodyPr rot="0" vert="horz" anchor="ctr" anchorCtr="0"/>
          <a:lstStyle/>
          <a:p>
            <a:pPr>
              <a:defRPr sz="500" b="0" i="0" u="none" strike="noStrike" baseline="0">
                <a:solidFill>
                  <a:srgbClr val="000000"/>
                </a:solidFill>
                <a:latin typeface="Arial"/>
                <a:ea typeface="Arial"/>
                <a:cs typeface="Arial"/>
              </a:defRPr>
            </a:pPr>
            <a:endParaRPr lang="es-CO"/>
          </a:p>
        </c:txPr>
        <c:crossAx val="-1529581424"/>
        <c:crosses val="autoZero"/>
        <c:crossBetween val="midCat"/>
        <c:majorUnit val="10"/>
      </c:valAx>
      <c:spPr>
        <a:noFill/>
        <a:ln w="25400">
          <a:noFill/>
        </a:ln>
      </c:spPr>
    </c:plotArea>
    <c:plotVisOnly val="1"/>
    <c:dispBlanksAs val="gap"/>
    <c:showDLblsOverMax val="0"/>
  </c:chart>
  <c:spPr>
    <a:solidFill>
      <a:srgbClr val="FFFFFF"/>
    </a:solidFill>
    <a:ln w="3175">
      <a:solidFill>
        <a:schemeClr val="bg1">
          <a:lumMod val="50000"/>
        </a:schemeClr>
      </a:solidFill>
      <a:prstDash val="solid"/>
    </a:ln>
    <a:effectLst>
      <a:outerShdw blurRad="50800" dist="50800" dir="5400000" algn="ctr" rotWithShape="0">
        <a:schemeClr val="bg1">
          <a:lumMod val="85000"/>
          <a:alpha val="95000"/>
        </a:schemeClr>
      </a:outerShdw>
      <a:softEdge rad="63500"/>
    </a:effectLst>
    <a:scene3d>
      <a:camera prst="orthographicFront"/>
      <a:lightRig rig="threePt" dir="t"/>
    </a:scene3d>
    <a:sp3d prstMaterial="matte"/>
  </c:spPr>
  <c:txPr>
    <a:bodyPr/>
    <a:lstStyle/>
    <a:p>
      <a:pPr>
        <a:defRPr sz="115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256" orientation="landscape" horizontalDpi="360" verticalDpi="36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000000"/>
              </a:solidFill>
              <a:prstDash val="solid"/>
            </a:ln>
          </c:spPr>
          <c:marker>
            <c:symbol val="circle"/>
            <c:size val="5"/>
            <c:spPr>
              <a:solidFill>
                <a:srgbClr val="000000"/>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0-473D-4819-B3BC-58777120E0F0}"/>
            </c:ext>
          </c:extLst>
        </c:ser>
        <c:ser>
          <c:idx val="2"/>
          <c:order val="1"/>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1-473D-4819-B3BC-58777120E0F0}"/>
            </c:ext>
          </c:extLst>
        </c:ser>
        <c:ser>
          <c:idx val="3"/>
          <c:order val="2"/>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0"/>
          <c:extLst>
            <c:ext xmlns:c16="http://schemas.microsoft.com/office/drawing/2014/chart" uri="{C3380CC4-5D6E-409C-BE32-E72D297353CC}">
              <c16:uniqueId val="{00000002-473D-4819-B3BC-58777120E0F0}"/>
            </c:ext>
          </c:extLst>
        </c:ser>
        <c:dLbls>
          <c:showLegendKey val="0"/>
          <c:showVal val="0"/>
          <c:showCatName val="0"/>
          <c:showSerName val="0"/>
          <c:showPercent val="0"/>
          <c:showBubbleSize val="0"/>
        </c:dLbls>
        <c:axId val="-1534236048"/>
        <c:axId val="-1534241488"/>
      </c:scatterChart>
      <c:valAx>
        <c:axId val="-1534236048"/>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41488"/>
        <c:crosses val="autoZero"/>
        <c:crossBetween val="midCat"/>
      </c:valAx>
      <c:valAx>
        <c:axId val="-1534241488"/>
        <c:scaling>
          <c:orientation val="minMax"/>
          <c:max val="100"/>
          <c:min val="0"/>
        </c:scaling>
        <c:delete val="0"/>
        <c:axPos val="l"/>
        <c:majorGridlines>
          <c:spPr>
            <a:ln w="3175">
              <a:solidFill>
                <a:srgbClr val="000000"/>
              </a:solidFill>
              <a:prstDash val="solid"/>
            </a:ln>
          </c:spPr>
        </c:majorGridlines>
        <c:minorGridlines>
          <c:spPr>
            <a:ln w="3175">
              <a:solidFill>
                <a:srgbClr val="000000"/>
              </a:solidFill>
              <a:prstDash val="solid"/>
            </a:ln>
          </c:spPr>
        </c:min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6048"/>
        <c:crosses val="autoZero"/>
        <c:crossBetween val="midCat"/>
        <c:minorUnit val="5"/>
      </c:valAx>
      <c:spPr>
        <a:solidFill>
          <a:srgbClr val="FFFFFF"/>
        </a:solidFill>
        <a:ln w="25400">
          <a:solidFill>
            <a:srgbClr val="00000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oddHeader>&amp;A</c:oddHeader>
      <c:oddFooter>Página &amp;P</c:oddFooter>
    </c:headerFooter>
    <c:pageMargins b="1" l="0.75000000000000988" r="0.75000000000000988" t="1" header="0.511811024" footer="0.511811024"/>
    <c:pageSetup paperSize="9" orientation="landscape" horizontalDpi="180" verticalDpi="18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07317810173321E-2"/>
          <c:y val="3.416217709628401E-2"/>
          <c:w val="0.86987832013244371"/>
          <c:h val="0.83869185553328485"/>
        </c:manualLayout>
      </c:layout>
      <c:scatterChart>
        <c:scatterStyle val="lineMarker"/>
        <c:varyColors val="0"/>
        <c:ser>
          <c:idx val="0"/>
          <c:order val="0"/>
          <c:spPr>
            <a:ln w="12700" cap="rnd">
              <a:solidFill>
                <a:schemeClr val="tx1"/>
              </a:solidFill>
              <a:prstDash val="solid"/>
            </a:ln>
          </c:spPr>
          <c:marker>
            <c:symbol val="diamond"/>
            <c:size val="3"/>
            <c:spPr>
              <a:noFill/>
              <a:ln w="6350">
                <a:solidFill>
                  <a:srgbClr val="000000"/>
                </a:solidFill>
                <a:prstDash val="solid"/>
              </a:ln>
            </c:spPr>
          </c:marker>
          <c:xVal>
            <c:numRef>
              <c:f>'Gradacion '!$AJ$35:$AJ$44</c:f>
            </c:numRef>
          </c:xVal>
          <c:yVal>
            <c:numRef>
              <c:f>'Gradacion '!$AL$35:$AL$44</c:f>
              <c:numCache>
                <c:formatCode>0.00</c:formatCode>
                <c:ptCount val="10"/>
              </c:numCache>
            </c:numRef>
          </c:yVal>
          <c:smooth val="0"/>
          <c:extLst>
            <c:ext xmlns:c16="http://schemas.microsoft.com/office/drawing/2014/chart" uri="{C3380CC4-5D6E-409C-BE32-E72D297353CC}">
              <c16:uniqueId val="{00000000-5468-4D65-A848-FB947977EFF1}"/>
            </c:ext>
          </c:extLst>
        </c:ser>
        <c:ser>
          <c:idx val="3"/>
          <c:order val="1"/>
          <c:tx>
            <c:v>Límite inferior</c:v>
          </c:tx>
          <c:spPr>
            <a:ln w="12700">
              <a:solidFill>
                <a:srgbClr val="0070C0"/>
              </a:solidFill>
              <a:prstDash val="dashDot"/>
            </a:ln>
          </c:spPr>
          <c:marker>
            <c:symbol val="none"/>
          </c:marker>
          <c:xVal>
            <c:numRef>
              <c:f>'Gradacion '!$AJ$35:$AJ$44</c:f>
            </c:numRef>
          </c:xVal>
          <c:yVal>
            <c:numRef>
              <c:f>'Gradacion '!$AM$35:$AM$44</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5468-4D65-A848-FB947977EFF1}"/>
            </c:ext>
          </c:extLst>
        </c:ser>
        <c:ser>
          <c:idx val="4"/>
          <c:order val="2"/>
          <c:tx>
            <c:v>Límite superior</c:v>
          </c:tx>
          <c:spPr>
            <a:ln w="12700">
              <a:solidFill>
                <a:srgbClr val="0070C0"/>
              </a:solidFill>
              <a:prstDash val="dashDot"/>
            </a:ln>
          </c:spPr>
          <c:marker>
            <c:symbol val="none"/>
          </c:marker>
          <c:xVal>
            <c:numRef>
              <c:f>'Gradacion '!$AJ$35:$AJ$44</c:f>
            </c:numRef>
          </c:xVal>
          <c:yVal>
            <c:numRef>
              <c:f>'Gradacion '!$AN$35:$AN$44</c:f>
              <c:numCache>
                <c:formatCode>0</c:formatCode>
                <c:ptCount val="10"/>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5468-4D65-A848-FB947977EFF1}"/>
            </c:ext>
          </c:extLst>
        </c:ser>
        <c:dLbls>
          <c:showLegendKey val="0"/>
          <c:showVal val="0"/>
          <c:showCatName val="0"/>
          <c:showSerName val="0"/>
          <c:showPercent val="0"/>
          <c:showBubbleSize val="0"/>
        </c:dLbls>
        <c:axId val="-1534237680"/>
        <c:axId val="-1534231696"/>
      </c:scatterChart>
      <c:valAx>
        <c:axId val="-1534237680"/>
        <c:scaling>
          <c:logBase val="10"/>
          <c:orientation val="maxMin"/>
          <c:max val="310"/>
        </c:scaling>
        <c:delete val="0"/>
        <c:axPos val="b"/>
        <c:majorGridlines>
          <c:spPr>
            <a:ln w="3175">
              <a:solidFill>
                <a:srgbClr val="000000"/>
              </a:solidFill>
              <a:prstDash val="solid"/>
            </a:ln>
          </c:spPr>
        </c:majorGridlines>
        <c:minorGridlines>
          <c:spPr>
            <a:ln w="3175">
              <a:solidFill>
                <a:schemeClr val="tx1">
                  <a:lumMod val="50000"/>
                  <a:lumOff val="50000"/>
                </a:schemeClr>
              </a:solidFill>
              <a:prstDash val="solid"/>
            </a:ln>
          </c:spPr>
        </c:minorGridlines>
        <c:title>
          <c:tx>
            <c:rich>
              <a:bodyPr/>
              <a:lstStyle/>
              <a:p>
                <a:pPr>
                  <a:defRPr sz="800" b="1" i="0" u="none" strike="noStrike" baseline="0">
                    <a:solidFill>
                      <a:srgbClr val="000000"/>
                    </a:solidFill>
                    <a:latin typeface="Arial"/>
                    <a:ea typeface="Arial"/>
                    <a:cs typeface="Arial"/>
                  </a:defRPr>
                </a:pPr>
                <a:r>
                  <a:rPr lang="es-CO"/>
                  <a:t>Diámetro de las partículas (mm)</a:t>
                </a:r>
              </a:p>
            </c:rich>
          </c:tx>
          <c:layout>
            <c:manualLayout>
              <c:xMode val="edge"/>
              <c:yMode val="edge"/>
              <c:x val="0.39856282859559738"/>
              <c:y val="0.936730861658492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1696"/>
        <c:crosses val="autoZero"/>
        <c:crossBetween val="midCat"/>
      </c:valAx>
      <c:valAx>
        <c:axId val="-1534231696"/>
        <c:scaling>
          <c:orientation val="minMax"/>
          <c:max val="100"/>
          <c:min val="0"/>
        </c:scaling>
        <c:delete val="0"/>
        <c:axPos val="l"/>
        <c:majorGridlines>
          <c:spPr>
            <a:ln w="3175">
              <a:solidFill>
                <a:schemeClr val="bg1">
                  <a:lumMod val="50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s-CO" sz="800" b="0"/>
                  <a:t>%</a:t>
                </a:r>
                <a:r>
                  <a:rPr lang="es-CO" sz="800" baseline="0"/>
                  <a:t> PASA</a:t>
                </a:r>
                <a:endParaRPr lang="es-CO" sz="800"/>
              </a:p>
            </c:rich>
          </c:tx>
          <c:layout>
            <c:manualLayout>
              <c:xMode val="edge"/>
              <c:yMode val="edge"/>
              <c:x val="2.2308851666231443E-2"/>
              <c:y val="0.392907053933436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7680"/>
        <c:crosses val="max"/>
        <c:crossBetween val="midCat"/>
      </c:valAx>
      <c:spPr>
        <a:noFill/>
        <a:ln w="25400">
          <a:solidFill>
            <a:schemeClr val="bg1"/>
          </a:solidFill>
        </a:ln>
      </c:spPr>
    </c:plotArea>
    <c:legend>
      <c:legendPos val="r"/>
      <c:layout>
        <c:manualLayout>
          <c:xMode val="edge"/>
          <c:yMode val="edge"/>
          <c:x val="0.74926744598691408"/>
          <c:y val="7.201547175024299E-2"/>
          <c:w val="0.24424557372095554"/>
          <c:h val="0.22150013089900344"/>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CO"/>
        </a:p>
      </c:txPr>
    </c:legend>
    <c:plotVisOnly val="0"/>
    <c:dispBlanksAs val="span"/>
    <c:showDLblsOverMax val="0"/>
  </c:chart>
  <c:spPr>
    <a:solidFill>
      <a:srgbClr val="FFFFFF"/>
    </a:solidFill>
    <a:ln w="25400">
      <a:solidFill>
        <a:schemeClr val="bg1"/>
      </a:solidFill>
      <a:prstDash val="solid"/>
    </a:ln>
  </c:spPr>
  <c:txPr>
    <a:bodyPr/>
    <a:lstStyle/>
    <a:p>
      <a:pPr>
        <a:defRPr sz="16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07317810173321E-2"/>
          <c:y val="3.416217709628401E-2"/>
          <c:w val="0.86987832013244371"/>
          <c:h val="0.83869185553328485"/>
        </c:manualLayout>
      </c:layout>
      <c:scatterChart>
        <c:scatterStyle val="lineMarker"/>
        <c:varyColors val="0"/>
        <c:ser>
          <c:idx val="0"/>
          <c:order val="0"/>
          <c:tx>
            <c:v>Resultado</c:v>
          </c:tx>
          <c:spPr>
            <a:ln w="12700" cap="rnd">
              <a:solidFill>
                <a:schemeClr val="tx1"/>
              </a:solidFill>
              <a:prstDash val="solid"/>
            </a:ln>
          </c:spPr>
          <c:marker>
            <c:symbol val="diamond"/>
            <c:size val="3"/>
            <c:spPr>
              <a:noFill/>
              <a:ln w="6350">
                <a:solidFill>
                  <a:srgbClr val="000000"/>
                </a:solidFill>
                <a:prstDash val="solid"/>
              </a:ln>
            </c:spPr>
          </c:marker>
          <c:xVal>
            <c:numRef>
              <c:f>'[33]Gradacion '!$A$14:$A$23</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'[33]Gradacion '!$U$14:$U$23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684D-4461-99E3-245358770BBF}"/>
            </c:ext>
          </c:extLst>
        </c:ser>
        <c:ser>
          <c:idx val="3"/>
          <c:order val="1"/>
          <c:tx>
            <c:strRef>
              <c:f>'[33]Gradacion '!$AN$34</c:f>
              <c:strCache>
                <c:ptCount val="1"/>
                <c:pt idx="0">
                  <c:v>Limite superior</c:v>
                </c:pt>
              </c:strCache>
            </c:strRef>
          </c:tx>
          <c:spPr>
            <a:ln w="12700">
              <a:solidFill>
                <a:srgbClr val="0070C0"/>
              </a:solidFill>
              <a:prstDash val="dashDot"/>
            </a:ln>
          </c:spPr>
          <c:marker>
            <c:symbol val="none"/>
          </c:marker>
          <c:xVal>
            <c:numRef>
              <c:f>'[33]Gradacion '!$A$14:$A$23</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'[33]Gradacion '!$Y$14:$Y$23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684D-4461-99E3-245358770BBF}"/>
            </c:ext>
          </c:extLst>
        </c:ser>
        <c:ser>
          <c:idx val="4"/>
          <c:order val="2"/>
          <c:tx>
            <c:strRef>
              <c:f>'[33]Gradacion '!$AM$34</c:f>
              <c:strCache>
                <c:ptCount val="1"/>
                <c:pt idx="0">
                  <c:v>Limite inferior</c:v>
                </c:pt>
              </c:strCache>
            </c:strRef>
          </c:tx>
          <c:spPr>
            <a:ln w="12700">
              <a:solidFill>
                <a:srgbClr val="0070C0"/>
              </a:solidFill>
              <a:prstDash val="dashDot"/>
            </a:ln>
          </c:spPr>
          <c:marker>
            <c:symbol val="none"/>
          </c:marker>
          <c:xVal>
            <c:numRef>
              <c:f>'[33]Gradacion '!$A$14:$A$23</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'[33]Gradacion '!$AC$14:$AC$23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684D-4461-99E3-245358770BBF}"/>
            </c:ext>
          </c:extLst>
        </c:ser>
        <c:dLbls>
          <c:showLegendKey val="0"/>
          <c:showVal val="0"/>
          <c:showCatName val="0"/>
          <c:showSerName val="0"/>
          <c:showPercent val="0"/>
          <c:showBubbleSize val="0"/>
        </c:dLbls>
        <c:axId val="-1534237680"/>
        <c:axId val="-1534231696"/>
      </c:scatterChart>
      <c:valAx>
        <c:axId val="-1534237680"/>
        <c:scaling>
          <c:logBase val="10"/>
          <c:orientation val="maxMin"/>
          <c:max val="310"/>
        </c:scaling>
        <c:delete val="0"/>
        <c:axPos val="b"/>
        <c:majorGridlines>
          <c:spPr>
            <a:ln w="3175">
              <a:solidFill>
                <a:srgbClr val="000000"/>
              </a:solidFill>
              <a:prstDash val="solid"/>
            </a:ln>
          </c:spPr>
        </c:majorGridlines>
        <c:minorGridlines>
          <c:spPr>
            <a:ln w="3175">
              <a:solidFill>
                <a:schemeClr val="tx1">
                  <a:lumMod val="50000"/>
                  <a:lumOff val="50000"/>
                </a:schemeClr>
              </a:solidFill>
              <a:prstDash val="solid"/>
            </a:ln>
          </c:spPr>
        </c:minorGridlines>
        <c:title>
          <c:tx>
            <c:rich>
              <a:bodyPr/>
              <a:lstStyle/>
              <a:p>
                <a:pPr>
                  <a:defRPr sz="800" b="1" i="0" u="none" strike="noStrike" baseline="0">
                    <a:solidFill>
                      <a:srgbClr val="000000"/>
                    </a:solidFill>
                    <a:latin typeface="Arial"/>
                    <a:ea typeface="Arial"/>
                    <a:cs typeface="Arial"/>
                  </a:defRPr>
                </a:pPr>
                <a:r>
                  <a:rPr lang="es-CO"/>
                  <a:t>Diámetro de las partículas (mm)</a:t>
                </a:r>
              </a:p>
            </c:rich>
          </c:tx>
          <c:layout>
            <c:manualLayout>
              <c:xMode val="edge"/>
              <c:yMode val="edge"/>
              <c:x val="0.39856282859559738"/>
              <c:y val="0.936730861658492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1696"/>
        <c:crosses val="autoZero"/>
        <c:crossBetween val="midCat"/>
      </c:valAx>
      <c:valAx>
        <c:axId val="-1534231696"/>
        <c:scaling>
          <c:orientation val="minMax"/>
          <c:max val="100"/>
          <c:min val="0"/>
        </c:scaling>
        <c:delete val="0"/>
        <c:axPos val="l"/>
        <c:majorGridlines>
          <c:spPr>
            <a:ln w="3175">
              <a:solidFill>
                <a:schemeClr val="bg1">
                  <a:lumMod val="50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s-CO" sz="800" b="0"/>
                  <a:t>%</a:t>
                </a:r>
                <a:r>
                  <a:rPr lang="es-CO" sz="800" baseline="0"/>
                  <a:t> PASA</a:t>
                </a:r>
                <a:endParaRPr lang="es-CO" sz="800"/>
              </a:p>
            </c:rich>
          </c:tx>
          <c:layout>
            <c:manualLayout>
              <c:xMode val="edge"/>
              <c:yMode val="edge"/>
              <c:x val="2.2308851666231443E-2"/>
              <c:y val="0.392907053933436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7680"/>
        <c:crosses val="max"/>
        <c:crossBetween val="midCat"/>
      </c:valAx>
      <c:spPr>
        <a:noFill/>
        <a:ln w="25400">
          <a:solidFill>
            <a:schemeClr val="bg1"/>
          </a:solidFill>
        </a:ln>
      </c:spPr>
    </c:plotArea>
    <c:legend>
      <c:legendPos val="r"/>
      <c:layout>
        <c:manualLayout>
          <c:xMode val="edge"/>
          <c:yMode val="edge"/>
          <c:x val="0.74926744598691408"/>
          <c:y val="7.201547175024299E-2"/>
          <c:w val="0.24424557372095554"/>
          <c:h val="0.22150013089900344"/>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CO"/>
        </a:p>
      </c:txPr>
    </c:legend>
    <c:plotVisOnly val="0"/>
    <c:dispBlanksAs val="span"/>
    <c:showDLblsOverMax val="0"/>
  </c:chart>
  <c:spPr>
    <a:solidFill>
      <a:srgbClr val="FFFFFF"/>
    </a:solidFill>
    <a:ln w="25400">
      <a:solidFill>
        <a:schemeClr val="bg1"/>
      </a:solidFill>
      <a:prstDash val="solid"/>
    </a:ln>
  </c:spPr>
  <c:txPr>
    <a:bodyPr/>
    <a:lstStyle/>
    <a:p>
      <a:pPr>
        <a:defRPr sz="16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07317810173321E-2"/>
          <c:y val="3.416217709628401E-2"/>
          <c:w val="0.86987832013244371"/>
          <c:h val="0.83869185553328485"/>
        </c:manualLayout>
      </c:layout>
      <c:scatterChart>
        <c:scatterStyle val="lineMarker"/>
        <c:varyColors val="0"/>
        <c:ser>
          <c:idx val="0"/>
          <c:order val="0"/>
          <c:tx>
            <c:v>Resultado</c:v>
          </c:tx>
          <c:spPr>
            <a:ln w="12700" cap="rnd">
              <a:solidFill>
                <a:schemeClr val="tx1"/>
              </a:solidFill>
              <a:prstDash val="solid"/>
            </a:ln>
          </c:spPr>
          <c:marker>
            <c:symbol val="diamond"/>
            <c:size val="3"/>
            <c:spPr>
              <a:noFill/>
              <a:ln w="6350">
                <a:solidFill>
                  <a:srgbClr val="000000"/>
                </a:solidFill>
                <a:prstDash val="solid"/>
              </a:ln>
            </c:spPr>
          </c:marker>
          <c:xVal>
            <c:numRef>
              <c:f>'Gradacion '!$A$14:$A$23</c:f>
            </c:numRef>
          </c:xVal>
          <c:yVal>
            <c:numRef>
              <c:f>'Gradacion '!$U$14:$U$23</c:f>
              <c:numCache>
                <c:formatCode>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182F-470E-8210-0952732BFE4E}"/>
            </c:ext>
          </c:extLst>
        </c:ser>
        <c:ser>
          <c:idx val="3"/>
          <c:order val="1"/>
          <c:tx>
            <c:v>Limite inferior</c:v>
          </c:tx>
          <c:spPr>
            <a:ln w="12700">
              <a:solidFill>
                <a:srgbClr val="0070C0"/>
              </a:solidFill>
              <a:prstDash val="dashDot"/>
            </a:ln>
          </c:spPr>
          <c:marker>
            <c:symbol val="none"/>
          </c:marker>
          <c:xVal>
            <c:numRef>
              <c:f>'Gradacion '!$A$14:$A$23</c:f>
            </c:numRef>
          </c:xVal>
          <c:yVal>
            <c:numRef>
              <c:f>'Gradacion '!$Y$14:$Y$23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182F-470E-8210-0952732BFE4E}"/>
            </c:ext>
          </c:extLst>
        </c:ser>
        <c:ser>
          <c:idx val="4"/>
          <c:order val="2"/>
          <c:tx>
            <c:v>Limite siperior</c:v>
          </c:tx>
          <c:spPr>
            <a:ln w="12700">
              <a:solidFill>
                <a:srgbClr val="0070C0"/>
              </a:solidFill>
              <a:prstDash val="dashDot"/>
            </a:ln>
          </c:spPr>
          <c:marker>
            <c:symbol val="none"/>
          </c:marker>
          <c:xVal>
            <c:numRef>
              <c:f>'Gradacion '!$A$14:$A$23</c:f>
            </c:numRef>
          </c:xVal>
          <c:yVal>
            <c:numRef>
              <c:f>'Gradacion '!$AC$14:$AC$23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182F-470E-8210-0952732BFE4E}"/>
            </c:ext>
          </c:extLst>
        </c:ser>
        <c:dLbls>
          <c:showLegendKey val="0"/>
          <c:showVal val="0"/>
          <c:showCatName val="0"/>
          <c:showSerName val="0"/>
          <c:showPercent val="0"/>
          <c:showBubbleSize val="0"/>
        </c:dLbls>
        <c:axId val="-1534237680"/>
        <c:axId val="-1534231696"/>
      </c:scatterChart>
      <c:valAx>
        <c:axId val="-1534237680"/>
        <c:scaling>
          <c:logBase val="10"/>
          <c:orientation val="maxMin"/>
          <c:max val="310"/>
        </c:scaling>
        <c:delete val="0"/>
        <c:axPos val="b"/>
        <c:majorGridlines>
          <c:spPr>
            <a:ln w="3175">
              <a:solidFill>
                <a:srgbClr val="000000"/>
              </a:solidFill>
              <a:prstDash val="solid"/>
            </a:ln>
          </c:spPr>
        </c:majorGridlines>
        <c:minorGridlines>
          <c:spPr>
            <a:ln w="3175">
              <a:solidFill>
                <a:schemeClr val="tx1">
                  <a:lumMod val="50000"/>
                  <a:lumOff val="50000"/>
                </a:schemeClr>
              </a:solidFill>
              <a:prstDash val="solid"/>
            </a:ln>
          </c:spPr>
        </c:minorGridlines>
        <c:title>
          <c:tx>
            <c:rich>
              <a:bodyPr/>
              <a:lstStyle/>
              <a:p>
                <a:pPr>
                  <a:defRPr sz="800" b="1" i="0" u="none" strike="noStrike" baseline="0">
                    <a:solidFill>
                      <a:srgbClr val="000000"/>
                    </a:solidFill>
                    <a:latin typeface="Arial"/>
                    <a:ea typeface="Arial"/>
                    <a:cs typeface="Arial"/>
                  </a:defRPr>
                </a:pPr>
                <a:r>
                  <a:rPr lang="es-CO"/>
                  <a:t>Diámetro de las partículas (mm)</a:t>
                </a:r>
              </a:p>
            </c:rich>
          </c:tx>
          <c:layout>
            <c:manualLayout>
              <c:xMode val="edge"/>
              <c:yMode val="edge"/>
              <c:x val="0.39856282859559738"/>
              <c:y val="0.936730861658492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1696"/>
        <c:crosses val="autoZero"/>
        <c:crossBetween val="midCat"/>
      </c:valAx>
      <c:valAx>
        <c:axId val="-1534231696"/>
        <c:scaling>
          <c:orientation val="minMax"/>
          <c:max val="100"/>
          <c:min val="0"/>
        </c:scaling>
        <c:delete val="0"/>
        <c:axPos val="l"/>
        <c:majorGridlines>
          <c:spPr>
            <a:ln w="3175">
              <a:solidFill>
                <a:schemeClr val="bg1">
                  <a:lumMod val="50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s-CO" sz="800" b="0"/>
                  <a:t>%</a:t>
                </a:r>
                <a:r>
                  <a:rPr lang="es-CO" sz="800" baseline="0"/>
                  <a:t> PASA</a:t>
                </a:r>
                <a:endParaRPr lang="es-CO" sz="800"/>
              </a:p>
            </c:rich>
          </c:tx>
          <c:layout>
            <c:manualLayout>
              <c:xMode val="edge"/>
              <c:yMode val="edge"/>
              <c:x val="2.2308851666231443E-2"/>
              <c:y val="0.392907053933436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7680"/>
        <c:crosses val="max"/>
        <c:crossBetween val="midCat"/>
      </c:valAx>
      <c:spPr>
        <a:noFill/>
        <a:ln w="25400">
          <a:solidFill>
            <a:schemeClr val="bg1"/>
          </a:solidFill>
        </a:ln>
      </c:spPr>
    </c:plotArea>
    <c:legend>
      <c:legendPos val="r"/>
      <c:layout>
        <c:manualLayout>
          <c:xMode val="edge"/>
          <c:yMode val="edge"/>
          <c:x val="0.74926744598691408"/>
          <c:y val="7.201547175024299E-2"/>
          <c:w val="0.24424557372095554"/>
          <c:h val="0.22150013089900344"/>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CO"/>
        </a:p>
      </c:txPr>
    </c:legend>
    <c:plotVisOnly val="0"/>
    <c:dispBlanksAs val="span"/>
    <c:showDLblsOverMax val="0"/>
  </c:chart>
  <c:spPr>
    <a:solidFill>
      <a:srgbClr val="FFFFFF"/>
    </a:solidFill>
    <a:ln w="25400">
      <a:solidFill>
        <a:schemeClr val="bg1"/>
      </a:solidFill>
      <a:prstDash val="solid"/>
    </a:ln>
  </c:spPr>
  <c:txPr>
    <a:bodyPr/>
    <a:lstStyle/>
    <a:p>
      <a:pPr>
        <a:defRPr sz="16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18280282348346"/>
          <c:y val="4.0906671118408122E-2"/>
          <c:w val="0.86332141926490868"/>
          <c:h val="0.83155393561670521"/>
        </c:manualLayout>
      </c:layout>
      <c:scatterChart>
        <c:scatterStyle val="lineMarker"/>
        <c:varyColors val="0"/>
        <c:ser>
          <c:idx val="0"/>
          <c:order val="0"/>
          <c:spPr>
            <a:ln w="19050"/>
          </c:spPr>
          <c:marker>
            <c:symbol val="diamond"/>
            <c:size val="5"/>
            <c:spPr>
              <a:noFill/>
            </c:spPr>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'!$AP$6:$AP$24</c:f>
              <c:numCache>
                <c:formatCode>General</c:formatCode>
                <c:ptCount val="19"/>
                <c:pt idx="0">
                  <c:v>18.3</c:v>
                </c:pt>
                <c:pt idx="1">
                  <c:v>17.8</c:v>
                </c:pt>
                <c:pt idx="2">
                  <c:v>18</c:v>
                </c:pt>
                <c:pt idx="3">
                  <c:v>19.5</c:v>
                </c:pt>
                <c:pt idx="4">
                  <c:v>18.100000000000001</c:v>
                </c:pt>
                <c:pt idx="5">
                  <c:v>18.7</c:v>
                </c:pt>
                <c:pt idx="6">
                  <c:v>17.7</c:v>
                </c:pt>
                <c:pt idx="7">
                  <c:v>18.2</c:v>
                </c:pt>
                <c:pt idx="8">
                  <c:v>18.399999999999999</c:v>
                </c:pt>
                <c:pt idx="9">
                  <c:v>17.8</c:v>
                </c:pt>
                <c:pt idx="10">
                  <c:v>19.100000000000001</c:v>
                </c:pt>
                <c:pt idx="11">
                  <c:v>19.3</c:v>
                </c:pt>
                <c:pt idx="12" formatCode="0.0">
                  <c:v>18.8</c:v>
                </c:pt>
                <c:pt idx="13" formatCode="0.0">
                  <c:v>18</c:v>
                </c:pt>
                <c:pt idx="14" formatCode="0.0">
                  <c:v>19.2</c:v>
                </c:pt>
                <c:pt idx="15" formatCode="0.0">
                  <c:v>17.899999999999999</c:v>
                </c:pt>
                <c:pt idx="16" formatCode="0.0">
                  <c:v>20.100000000000001</c:v>
                </c:pt>
                <c:pt idx="17" formatCode="0.0">
                  <c:v>17.899999999999999</c:v>
                </c:pt>
              </c:numCache>
            </c:numRef>
          </c:yVal>
          <c:smooth val="0"/>
          <c:extLst>
            <c:ext xmlns:c16="http://schemas.microsoft.com/office/drawing/2014/chart" uri="{C3380CC4-5D6E-409C-BE32-E72D297353CC}">
              <c16:uniqueId val="{00000000-B643-49EC-8347-00009170B4AD}"/>
            </c:ext>
          </c:extLst>
        </c:ser>
        <c:ser>
          <c:idx val="1"/>
          <c:order val="1"/>
          <c:spPr>
            <a:ln w="12700">
              <a:solidFill>
                <a:srgbClr val="00B05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'!$AQ$6:$AQ$24</c:f>
              <c:numCache>
                <c:formatCode>General</c:formatCode>
                <c:ptCount val="19"/>
                <c:pt idx="0">
                  <c:v>18.399999999999999</c:v>
                </c:pt>
                <c:pt idx="1">
                  <c:v>18.399999999999999</c:v>
                </c:pt>
                <c:pt idx="2">
                  <c:v>18.399999999999999</c:v>
                </c:pt>
                <c:pt idx="3">
                  <c:v>18.399999999999999</c:v>
                </c:pt>
                <c:pt idx="4">
                  <c:v>18.399999999999999</c:v>
                </c:pt>
                <c:pt idx="5">
                  <c:v>18.399999999999999</c:v>
                </c:pt>
                <c:pt idx="6">
                  <c:v>18.399999999999999</c:v>
                </c:pt>
                <c:pt idx="7">
                  <c:v>18.399999999999999</c:v>
                </c:pt>
                <c:pt idx="8">
                  <c:v>18.399999999999999</c:v>
                </c:pt>
                <c:pt idx="9">
                  <c:v>18.399999999999999</c:v>
                </c:pt>
                <c:pt idx="10">
                  <c:v>18.399999999999999</c:v>
                </c:pt>
                <c:pt idx="11">
                  <c:v>18.399999999999999</c:v>
                </c:pt>
                <c:pt idx="12">
                  <c:v>18.399999999999999</c:v>
                </c:pt>
                <c:pt idx="13">
                  <c:v>18.399999999999999</c:v>
                </c:pt>
                <c:pt idx="14">
                  <c:v>18.399999999999999</c:v>
                </c:pt>
                <c:pt idx="15">
                  <c:v>18.399999999999999</c:v>
                </c:pt>
                <c:pt idx="16">
                  <c:v>18.399999999999999</c:v>
                </c:pt>
                <c:pt idx="17">
                  <c:v>18.399999999999999</c:v>
                </c:pt>
              </c:numCache>
            </c:numRef>
          </c:yVal>
          <c:smooth val="0"/>
          <c:extLst>
            <c:ext xmlns:c16="http://schemas.microsoft.com/office/drawing/2014/chart" uri="{C3380CC4-5D6E-409C-BE32-E72D297353CC}">
              <c16:uniqueId val="{00000001-B643-49EC-8347-00009170B4AD}"/>
            </c:ext>
          </c:extLst>
        </c:ser>
        <c:ser>
          <c:idx val="2"/>
          <c:order val="2"/>
          <c:spPr>
            <a:ln w="12700">
              <a:solidFill>
                <a:srgbClr val="FF000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'!$AR$6:$AR$24</c:f>
              <c:numCache>
                <c:formatCode>General</c:formatCode>
                <c:ptCount val="19"/>
                <c:pt idx="0">
                  <c:v>17.5</c:v>
                </c:pt>
                <c:pt idx="1">
                  <c:v>17.5</c:v>
                </c:pt>
                <c:pt idx="2">
                  <c:v>17.5</c:v>
                </c:pt>
                <c:pt idx="3">
                  <c:v>17.5</c:v>
                </c:pt>
                <c:pt idx="4">
                  <c:v>17.5</c:v>
                </c:pt>
                <c:pt idx="5">
                  <c:v>17.5</c:v>
                </c:pt>
                <c:pt idx="6">
                  <c:v>17.5</c:v>
                </c:pt>
                <c:pt idx="7">
                  <c:v>17.5</c:v>
                </c:pt>
                <c:pt idx="8">
                  <c:v>17.5</c:v>
                </c:pt>
                <c:pt idx="9">
                  <c:v>17.5</c:v>
                </c:pt>
                <c:pt idx="10">
                  <c:v>17.5</c:v>
                </c:pt>
                <c:pt idx="11">
                  <c:v>17.5</c:v>
                </c:pt>
                <c:pt idx="12">
                  <c:v>17.5</c:v>
                </c:pt>
                <c:pt idx="13">
                  <c:v>17.5</c:v>
                </c:pt>
                <c:pt idx="14">
                  <c:v>17.5</c:v>
                </c:pt>
                <c:pt idx="15">
                  <c:v>17.5</c:v>
                </c:pt>
                <c:pt idx="16">
                  <c:v>17.5</c:v>
                </c:pt>
                <c:pt idx="17">
                  <c:v>17.5</c:v>
                </c:pt>
              </c:numCache>
            </c:numRef>
          </c:yVal>
          <c:smooth val="0"/>
          <c:extLst>
            <c:ext xmlns:c16="http://schemas.microsoft.com/office/drawing/2014/chart" uri="{C3380CC4-5D6E-409C-BE32-E72D297353CC}">
              <c16:uniqueId val="{00000002-B643-49EC-8347-00009170B4AD}"/>
            </c:ext>
          </c:extLst>
        </c:ser>
        <c:ser>
          <c:idx val="3"/>
          <c:order val="3"/>
          <c:spPr>
            <a:ln w="12700">
              <a:solidFill>
                <a:srgbClr val="FF000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'!$AS$6:$AS$24</c:f>
              <c:numCache>
                <c:formatCode>General</c:formatCode>
                <c:ptCount val="19"/>
                <c:pt idx="0">
                  <c:v>20.7</c:v>
                </c:pt>
                <c:pt idx="1">
                  <c:v>20.7</c:v>
                </c:pt>
                <c:pt idx="2">
                  <c:v>20.7</c:v>
                </c:pt>
                <c:pt idx="3">
                  <c:v>20.7</c:v>
                </c:pt>
                <c:pt idx="4">
                  <c:v>20.7</c:v>
                </c:pt>
                <c:pt idx="5">
                  <c:v>20.7</c:v>
                </c:pt>
                <c:pt idx="6">
                  <c:v>20.7</c:v>
                </c:pt>
                <c:pt idx="7">
                  <c:v>20.7</c:v>
                </c:pt>
                <c:pt idx="8">
                  <c:v>20.7</c:v>
                </c:pt>
                <c:pt idx="9">
                  <c:v>20.7</c:v>
                </c:pt>
                <c:pt idx="10">
                  <c:v>20.7</c:v>
                </c:pt>
                <c:pt idx="11">
                  <c:v>20.7</c:v>
                </c:pt>
                <c:pt idx="12">
                  <c:v>20.7</c:v>
                </c:pt>
                <c:pt idx="13">
                  <c:v>20.7</c:v>
                </c:pt>
                <c:pt idx="14">
                  <c:v>20.7</c:v>
                </c:pt>
                <c:pt idx="15">
                  <c:v>20.7</c:v>
                </c:pt>
                <c:pt idx="16">
                  <c:v>20.7</c:v>
                </c:pt>
                <c:pt idx="17">
                  <c:v>20.7</c:v>
                </c:pt>
              </c:numCache>
            </c:numRef>
          </c:yVal>
          <c:smooth val="0"/>
          <c:extLst>
            <c:ext xmlns:c16="http://schemas.microsoft.com/office/drawing/2014/chart" uri="{C3380CC4-5D6E-409C-BE32-E72D297353CC}">
              <c16:uniqueId val="{00000003-B643-49EC-8347-00009170B4AD}"/>
            </c:ext>
          </c:extLst>
        </c:ser>
        <c:dLbls>
          <c:showLegendKey val="0"/>
          <c:showVal val="0"/>
          <c:showCatName val="0"/>
          <c:showSerName val="0"/>
          <c:showPercent val="0"/>
          <c:showBubbleSize val="0"/>
        </c:dLbls>
        <c:axId val="-1534246928"/>
        <c:axId val="-1534232240"/>
      </c:scatterChart>
      <c:valAx>
        <c:axId val="-1534246928"/>
        <c:scaling>
          <c:orientation val="minMax"/>
          <c:max val="20"/>
          <c:min val="0"/>
        </c:scaling>
        <c:delete val="0"/>
        <c:axPos val="b"/>
        <c:title>
          <c:tx>
            <c:rich>
              <a:bodyPr/>
              <a:lstStyle/>
              <a:p>
                <a:pPr>
                  <a:defRPr sz="900" b="1" i="0" u="none" strike="noStrike" baseline="0">
                    <a:solidFill>
                      <a:srgbClr val="000000"/>
                    </a:solidFill>
                    <a:latin typeface="Arial"/>
                    <a:ea typeface="Arial"/>
                    <a:cs typeface="Arial"/>
                  </a:defRPr>
                </a:pPr>
                <a:r>
                  <a:rPr lang="es-CO" sz="900"/>
                  <a:t>N° de prueba</a:t>
                </a:r>
              </a:p>
            </c:rich>
          </c:tx>
          <c:layout>
            <c:manualLayout>
              <c:xMode val="edge"/>
              <c:yMode val="edge"/>
              <c:x val="0.45089329874228151"/>
              <c:y val="0.93625834375159933"/>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2240"/>
        <c:crosses val="autoZero"/>
        <c:crossBetween val="midCat"/>
      </c:valAx>
      <c:valAx>
        <c:axId val="-1534232240"/>
        <c:scaling>
          <c:orientation val="minMax"/>
          <c:max val="21"/>
          <c:min val="17"/>
        </c:scaling>
        <c:delete val="0"/>
        <c:axPos val="l"/>
        <c:majorGridlines>
          <c:spPr>
            <a:ln w="3175">
              <a:solidFill>
                <a:schemeClr val="bg1">
                  <a:lumMod val="50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s-CO" sz="900"/>
                  <a:t>Pérdida</a:t>
                </a:r>
                <a:r>
                  <a:rPr lang="es-CO" sz="900" baseline="0"/>
                  <a:t> por abrasión Micro-Deval, </a:t>
                </a:r>
                <a:r>
                  <a:rPr lang="es-CO" sz="900"/>
                  <a:t>% </a:t>
                </a:r>
              </a:p>
            </c:rich>
          </c:tx>
          <c:layout>
            <c:manualLayout>
              <c:xMode val="edge"/>
              <c:yMode val="edge"/>
              <c:x val="2.0712209563175588E-2"/>
              <c:y val="0.254456976661701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46928"/>
        <c:crosses val="autoZero"/>
        <c:crossBetween val="midCat"/>
      </c:valAx>
      <c:spPr>
        <a:noFill/>
        <a:ln w="25400">
          <a:noFill/>
        </a:ln>
      </c:spPr>
    </c:plotArea>
    <c:plotVisOnly val="1"/>
    <c:dispBlanksAs val="gap"/>
    <c:showDLblsOverMax val="0"/>
  </c:chart>
  <c:spPr>
    <a:solidFill>
      <a:schemeClr val="bg1">
        <a:alpha val="95000"/>
      </a:schemeClr>
    </a:solidFill>
    <a:ln w="3175">
      <a:noFill/>
      <a:prstDash val="solid"/>
    </a:ln>
    <a:effectLst>
      <a:softEdge rad="31750"/>
    </a:effectLst>
    <a:scene3d>
      <a:camera prst="orthographicFront"/>
      <a:lightRig rig="threePt" dir="t"/>
    </a:scene3d>
    <a:sp3d>
      <a:bevelT/>
      <a:bevelB w="152400" h="50800" prst="softRound"/>
    </a:sp3d>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horizontalDpi="0"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900" b="1" i="0" u="none" strike="noStrike" baseline="0">
                <a:solidFill>
                  <a:srgbClr val="000000"/>
                </a:solidFill>
                <a:latin typeface="Arial"/>
                <a:ea typeface="Arial"/>
                <a:cs typeface="Arial"/>
              </a:defRPr>
            </a:pPr>
            <a:r>
              <a:rPr lang="es-CO"/>
              <a:t>CONTENIDO DE HÚMEDAD Vs NÚMERO DE GOLPES</a:t>
            </a:r>
          </a:p>
        </c:rich>
      </c:tx>
      <c:layout>
        <c:manualLayout>
          <c:xMode val="edge"/>
          <c:yMode val="edge"/>
          <c:x val="0.29770068677517558"/>
          <c:y val="1.6899500465667985E-2"/>
        </c:manualLayout>
      </c:layout>
      <c:overlay val="0"/>
      <c:spPr>
        <a:noFill/>
        <a:ln w="25400">
          <a:noFill/>
        </a:ln>
      </c:spPr>
    </c:title>
    <c:autoTitleDeleted val="0"/>
    <c:plotArea>
      <c:layout>
        <c:manualLayout>
          <c:layoutTarget val="inner"/>
          <c:xMode val="edge"/>
          <c:yMode val="edge"/>
          <c:x val="9.5333836695070701E-2"/>
          <c:y val="9.0179989637217683E-2"/>
          <c:w val="0.86992141963991398"/>
          <c:h val="0.81314747818684863"/>
        </c:manualLayout>
      </c:layout>
      <c:scatterChart>
        <c:scatterStyle val="lineMarker"/>
        <c:varyColors val="0"/>
        <c:ser>
          <c:idx val="0"/>
          <c:order val="0"/>
          <c:spPr>
            <a:ln w="28575">
              <a:noFill/>
            </a:ln>
          </c:spPr>
          <c:marker>
            <c:symbol val="circle"/>
            <c:size val="5"/>
            <c:spPr>
              <a:noFill/>
              <a:ln>
                <a:solidFill>
                  <a:srgbClr val="000000"/>
                </a:solidFill>
                <a:prstDash val="solid"/>
              </a:ln>
            </c:spPr>
          </c:marker>
          <c:dLbls>
            <c:spPr>
              <a:noFill/>
              <a:ln>
                <a:noFill/>
              </a:ln>
              <a:effectLst/>
            </c:spPr>
            <c:txPr>
              <a:bodyPr/>
              <a:lstStyle/>
              <a:p>
                <a:pPr>
                  <a:defRPr lang="es-ES" sz="800" b="0" i="0" u="none" strike="noStrike" baseline="0">
                    <a:solidFill>
                      <a:srgbClr val="000000"/>
                    </a:solidFill>
                    <a:latin typeface="Arial"/>
                    <a:ea typeface="Arial"/>
                    <a:cs typeface="Arial"/>
                  </a:defRPr>
                </a:pPr>
                <a:endParaRPr lang="es-CO"/>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trendline>
            <c:spPr>
              <a:ln w="9525" cmpd="sng">
                <a:solidFill>
                  <a:schemeClr val="tx1"/>
                </a:solidFill>
                <a:prstDash val="solid"/>
              </a:ln>
              <a:effectLst>
                <a:outerShdw dist="38100" sx="1000" sy="1000" algn="t" rotWithShape="0">
                  <a:sysClr val="window" lastClr="FFFFFF">
                    <a:lumMod val="75000"/>
                  </a:sysClr>
                </a:outerShdw>
              </a:effectLst>
            </c:spPr>
            <c:trendlineType val="log"/>
            <c:forward val="2.5"/>
            <c:backward val="2.5"/>
            <c:dispRSqr val="0"/>
            <c:dispEq val="0"/>
          </c:trendline>
          <c:xVal>
            <c:numRef>
              <c:f>LIMITES!$L$41:$N$41</c:f>
              <c:numCache>
                <c:formatCode>General</c:formatCode>
                <c:ptCount val="3"/>
                <c:pt idx="0">
                  <c:v>0</c:v>
                </c:pt>
                <c:pt idx="1">
                  <c:v>0</c:v>
                </c:pt>
                <c:pt idx="2">
                  <c:v>0</c:v>
                </c:pt>
              </c:numCache>
            </c:numRef>
          </c:xVal>
          <c:yVal>
            <c:numRef>
              <c:f>LIMITES!$L$42:$N$42</c:f>
              <c:numCache>
                <c:formatCode>0.0</c:formatCode>
                <c:ptCount val="3"/>
                <c:pt idx="0">
                  <c:v>0</c:v>
                </c:pt>
                <c:pt idx="1">
                  <c:v>0</c:v>
                </c:pt>
                <c:pt idx="2">
                  <c:v>0</c:v>
                </c:pt>
              </c:numCache>
            </c:numRef>
          </c:yVal>
          <c:smooth val="0"/>
          <c:extLst>
            <c:ext xmlns:c16="http://schemas.microsoft.com/office/drawing/2014/chart" uri="{C3380CC4-5D6E-409C-BE32-E72D297353CC}">
              <c16:uniqueId val="{00000001-B9CB-4836-A37A-A299CA925843}"/>
            </c:ext>
          </c:extLst>
        </c:ser>
        <c:ser>
          <c:idx val="1"/>
          <c:order val="1"/>
          <c:tx>
            <c:v>LIM-LIQ</c:v>
          </c:tx>
          <c:spPr>
            <a:ln w="12700">
              <a:solidFill>
                <a:srgbClr val="FF0000"/>
              </a:solidFill>
              <a:prstDash val="sysDash"/>
            </a:ln>
          </c:spPr>
          <c:marker>
            <c:symbol val="none"/>
          </c:marker>
          <c:xVal>
            <c:numRef>
              <c:f>LIMITES!$L$35:$M$35</c:f>
              <c:numCache>
                <c:formatCode>General</c:formatCode>
                <c:ptCount val="2"/>
                <c:pt idx="0">
                  <c:v>25</c:v>
                </c:pt>
                <c:pt idx="1">
                  <c:v>25</c:v>
                </c:pt>
              </c:numCache>
            </c:numRef>
          </c:xVal>
          <c:yVal>
            <c:numRef>
              <c:f>LIMITES!$L$36:$M$36</c:f>
              <c:numCache>
                <c:formatCode>0.0</c:formatCode>
                <c:ptCount val="2"/>
                <c:pt idx="0" formatCode="General">
                  <c:v>0</c:v>
                </c:pt>
                <c:pt idx="1">
                  <c:v>0</c:v>
                </c:pt>
              </c:numCache>
            </c:numRef>
          </c:yVal>
          <c:smooth val="0"/>
          <c:extLst>
            <c:ext xmlns:c16="http://schemas.microsoft.com/office/drawing/2014/chart" uri="{C3380CC4-5D6E-409C-BE32-E72D297353CC}">
              <c16:uniqueId val="{00000002-B9CB-4836-A37A-A299CA925843}"/>
            </c:ext>
          </c:extLst>
        </c:ser>
        <c:ser>
          <c:idx val="2"/>
          <c:order val="2"/>
          <c:spPr>
            <a:ln w="12700">
              <a:solidFill>
                <a:srgbClr val="FF0000"/>
              </a:solidFill>
              <a:prstDash val="sysDash"/>
            </a:ln>
          </c:spPr>
          <c:marker>
            <c:symbol val="none"/>
          </c:marker>
          <c:xVal>
            <c:numRef>
              <c:f>LIMITES!$L$37:$M$37</c:f>
              <c:numCache>
                <c:formatCode>General</c:formatCode>
                <c:ptCount val="2"/>
                <c:pt idx="0">
                  <c:v>10</c:v>
                </c:pt>
                <c:pt idx="1">
                  <c:v>25</c:v>
                </c:pt>
              </c:numCache>
            </c:numRef>
          </c:xVal>
          <c:yVal>
            <c:numRef>
              <c:f>LIMITES!$L$38:$M$38</c:f>
              <c:numCache>
                <c:formatCode>0.0</c:formatCode>
                <c:ptCount val="2"/>
                <c:pt idx="0">
                  <c:v>0</c:v>
                </c:pt>
                <c:pt idx="1">
                  <c:v>0</c:v>
                </c:pt>
              </c:numCache>
            </c:numRef>
          </c:yVal>
          <c:smooth val="0"/>
          <c:extLst>
            <c:ext xmlns:c16="http://schemas.microsoft.com/office/drawing/2014/chart" uri="{C3380CC4-5D6E-409C-BE32-E72D297353CC}">
              <c16:uniqueId val="{00000003-B9CB-4836-A37A-A299CA925843}"/>
            </c:ext>
          </c:extLst>
        </c:ser>
        <c:dLbls>
          <c:showLegendKey val="0"/>
          <c:showVal val="0"/>
          <c:showCatName val="0"/>
          <c:showSerName val="0"/>
          <c:showPercent val="0"/>
          <c:showBubbleSize val="0"/>
        </c:dLbls>
        <c:axId val="-1534232784"/>
        <c:axId val="-1534245840"/>
      </c:scatterChart>
      <c:valAx>
        <c:axId val="-1534232784"/>
        <c:scaling>
          <c:logBase val="10"/>
          <c:orientation val="minMax"/>
          <c:max val="100"/>
          <c:min val="10"/>
        </c:scaling>
        <c:delete val="0"/>
        <c:axPos val="b"/>
        <c:majorGridlines>
          <c:spPr>
            <a:ln w="3175">
              <a:solidFill>
                <a:srgbClr val="000000"/>
              </a:solidFill>
              <a:prstDash val="solid"/>
            </a:ln>
          </c:spPr>
        </c:majorGridlines>
        <c:minorGridlines>
          <c:spPr>
            <a:ln w="6350">
              <a:solidFill>
                <a:schemeClr val="bg1">
                  <a:lumMod val="65000"/>
                </a:schemeClr>
              </a:solidFill>
              <a:prstDash val="sysDot"/>
            </a:ln>
          </c:spPr>
        </c:minorGridlines>
        <c:title>
          <c:tx>
            <c:rich>
              <a:bodyPr/>
              <a:lstStyle/>
              <a:p>
                <a:pPr>
                  <a:defRPr lang="es-ES" sz="900" b="0" i="0" u="none" strike="noStrike" baseline="0">
                    <a:solidFill>
                      <a:srgbClr val="000000"/>
                    </a:solidFill>
                    <a:latin typeface="Arial"/>
                    <a:ea typeface="Arial"/>
                    <a:cs typeface="Arial"/>
                  </a:defRPr>
                </a:pPr>
                <a:r>
                  <a:rPr lang="es-CO"/>
                  <a:t>Número de golpes</a:t>
                </a:r>
              </a:p>
            </c:rich>
          </c:tx>
          <c:layout>
            <c:manualLayout>
              <c:xMode val="edge"/>
              <c:yMode val="edge"/>
              <c:x val="0.39571914754674808"/>
              <c:y val="0.934433623428650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s-ES" sz="700" b="0" i="0" u="none" strike="noStrike" baseline="0">
                <a:solidFill>
                  <a:srgbClr val="000000"/>
                </a:solidFill>
                <a:latin typeface="Arial"/>
                <a:ea typeface="Arial"/>
                <a:cs typeface="Arial"/>
              </a:defRPr>
            </a:pPr>
            <a:endParaRPr lang="es-CO"/>
          </a:p>
        </c:txPr>
        <c:crossAx val="-1534245840"/>
        <c:crosses val="autoZero"/>
        <c:crossBetween val="midCat"/>
        <c:majorUnit val="10"/>
        <c:minorUnit val="10"/>
      </c:valAx>
      <c:valAx>
        <c:axId val="-1534245840"/>
        <c:scaling>
          <c:orientation val="minMax"/>
          <c:max val="30"/>
          <c:min val="24"/>
        </c:scaling>
        <c:delete val="0"/>
        <c:axPos val="l"/>
        <c:majorGridlines>
          <c:spPr>
            <a:ln w="6350">
              <a:solidFill>
                <a:schemeClr val="bg1">
                  <a:lumMod val="65000"/>
                </a:schemeClr>
              </a:solidFill>
              <a:prstDash val="sysDot"/>
            </a:ln>
          </c:spPr>
        </c:majorGridlines>
        <c:minorGridlines>
          <c:spPr>
            <a:ln w="3175">
              <a:solidFill>
                <a:srgbClr val="000000"/>
              </a:solidFill>
              <a:prstDash val="solid"/>
            </a:ln>
          </c:spPr>
        </c:minorGridlines>
        <c:title>
          <c:tx>
            <c:rich>
              <a:bodyPr/>
              <a:lstStyle/>
              <a:p>
                <a:pPr>
                  <a:defRPr lang="es-ES" sz="900" b="0" i="0" u="none" strike="noStrike" baseline="0">
                    <a:solidFill>
                      <a:srgbClr val="000000"/>
                    </a:solidFill>
                    <a:latin typeface="Arial"/>
                    <a:ea typeface="Arial"/>
                    <a:cs typeface="Arial"/>
                  </a:defRPr>
                </a:pPr>
                <a:r>
                  <a:rPr lang="es-CO"/>
                  <a:t>Contenido de humedad  (%)</a:t>
                </a:r>
              </a:p>
            </c:rich>
          </c:tx>
          <c:layout>
            <c:manualLayout>
              <c:xMode val="edge"/>
              <c:yMode val="edge"/>
              <c:x val="2.1623780281053412E-2"/>
              <c:y val="0.29112791822075784"/>
            </c:manualLayout>
          </c:layout>
          <c:overlay val="0"/>
          <c:spPr>
            <a:noFill/>
            <a:ln w="25400">
              <a:noFill/>
            </a:ln>
          </c:spPr>
        </c:title>
        <c:numFmt formatCode="0.0" sourceLinked="1"/>
        <c:majorTickMark val="out"/>
        <c:minorTickMark val="in"/>
        <c:tickLblPos val="nextTo"/>
        <c:spPr>
          <a:ln w="3175">
            <a:solidFill>
              <a:srgbClr val="000000"/>
            </a:solidFill>
            <a:prstDash val="solid"/>
          </a:ln>
        </c:spPr>
        <c:txPr>
          <a:bodyPr rot="0" vert="horz"/>
          <a:lstStyle/>
          <a:p>
            <a:pPr>
              <a:defRPr lang="es-ES" sz="600" b="0" i="0" u="none" strike="noStrike" baseline="0">
                <a:solidFill>
                  <a:srgbClr val="000000"/>
                </a:solidFill>
                <a:latin typeface="Arial"/>
                <a:ea typeface="Arial"/>
                <a:cs typeface="Arial"/>
              </a:defRPr>
            </a:pPr>
            <a:endParaRPr lang="es-CO"/>
          </a:p>
        </c:txPr>
        <c:crossAx val="-1534232784"/>
        <c:crosses val="autoZero"/>
        <c:crossBetween val="midCat"/>
        <c:majorUnit val="1"/>
        <c:minorUnit val="1"/>
      </c:valAx>
      <c:spPr>
        <a:noFill/>
        <a:ln w="0">
          <a:solidFill>
            <a:schemeClr val="bg1">
              <a:lumMod val="65000"/>
            </a:schemeClr>
          </a:solidFill>
        </a:ln>
      </c:spPr>
    </c:plotArea>
    <c:plotVisOnly val="0"/>
    <c:dispBlanksAs val="gap"/>
    <c:showDLblsOverMax val="0"/>
  </c:chart>
  <c:spPr>
    <a:noFill/>
    <a:ln w="3175">
      <a:solidFill>
        <a:schemeClr val="tx1">
          <a:lumMod val="65000"/>
          <a:lumOff val="35000"/>
        </a:schemeClr>
      </a:solidFill>
      <a:prstDash val="solid"/>
    </a:ln>
    <a:effectLst>
      <a:outerShdw blurRad="50800" dist="38100" dir="18900000" algn="bl" rotWithShape="0">
        <a:schemeClr val="bg1">
          <a:lumMod val="75000"/>
          <a:alpha val="40000"/>
        </a:schemeClr>
      </a:outerShdw>
    </a:effectLst>
    <a:scene3d>
      <a:camera prst="orthographicFront"/>
      <a:lightRig rig="glow" dir="t">
        <a:rot lat="0" lon="0" rev="5400000"/>
      </a:lightRig>
    </a:scene3d>
    <a:sp3d prstMaterial="powder">
      <a:bevelT w="190500"/>
      <a:bevelB w="0" h="38100"/>
    </a:sp3d>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oddHeader>&amp;N</c:oddHeader>
      <c:oddFooter>Page &amp;P</c:oddFooter>
    </c:headerFooter>
    <c:pageMargins b="1" l="0.75000000000001465" r="0.75000000000001465" t="1" header="0.511811024" footer="0.511811024"/>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76261861498083"/>
          <c:y val="9.4659764751628267E-2"/>
          <c:w val="0.79433121340601665"/>
          <c:h val="0.72987569337340485"/>
        </c:manualLayout>
      </c:layout>
      <c:scatterChart>
        <c:scatterStyle val="smoothMarker"/>
        <c:varyColors val="0"/>
        <c:ser>
          <c:idx val="0"/>
          <c:order val="0"/>
          <c:tx>
            <c:v>curva de compactaciòn seco</c:v>
          </c:tx>
          <c:spPr>
            <a:ln w="19050"/>
          </c:spPr>
          <c:marker>
            <c:symbol val="triangle"/>
            <c:size val="5"/>
            <c:spPr>
              <a:solidFill>
                <a:schemeClr val="accent1"/>
              </a:solidFill>
              <a:ln>
                <a:solidFill>
                  <a:srgbClr val="4F81BD">
                    <a:shade val="95000"/>
                    <a:satMod val="105000"/>
                  </a:srgbClr>
                </a:solidFill>
              </a:ln>
            </c:spPr>
          </c:marker>
          <c:xVal>
            <c:numRef>
              <c:f>PROCTOR!$P$21:$T$21</c:f>
            </c:numRef>
          </c:xVal>
          <c:yVal>
            <c:numRef>
              <c:f>PROCTOR!$P$13:$T$13</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0-0FFF-48BC-9AC3-9726AB04CD90}"/>
            </c:ext>
          </c:extLst>
        </c:ser>
        <c:ser>
          <c:idx val="1"/>
          <c:order val="1"/>
          <c:tx>
            <c:v>Curva de Compactación Húmedo</c:v>
          </c:tx>
          <c:spPr>
            <a:ln w="19050" cap="sq"/>
          </c:spPr>
          <c:marker>
            <c:symbol val="circle"/>
            <c:size val="5"/>
            <c:spPr>
              <a:solidFill>
                <a:srgbClr val="C00000"/>
              </a:solidFill>
            </c:spPr>
          </c:marker>
          <c:dPt>
            <c:idx val="1"/>
            <c:bubble3D val="0"/>
            <c:spPr>
              <a:ln w="19050" cap="sq">
                <a:bevel/>
              </a:ln>
            </c:spPr>
            <c:extLst>
              <c:ext xmlns:c16="http://schemas.microsoft.com/office/drawing/2014/chart" uri="{C3380CC4-5D6E-409C-BE32-E72D297353CC}">
                <c16:uniqueId val="{00000002-0FFF-48BC-9AC3-9726AB04CD90}"/>
              </c:ext>
            </c:extLst>
          </c:dPt>
          <c:xVal>
            <c:numRef>
              <c:f>PROCTOR!$P$21:$T$21</c:f>
            </c:numRef>
          </c:xVal>
          <c:yVal>
            <c:numRef>
              <c:f>PROCTOR!$P$25:$T$25</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3-0FFF-48BC-9AC3-9726AB04CD90}"/>
            </c:ext>
          </c:extLst>
        </c:ser>
        <c:ser>
          <c:idx val="2"/>
          <c:order val="2"/>
          <c:tx>
            <c:v>Curva de Saturación</c:v>
          </c:tx>
          <c:spPr>
            <a:ln w="15875"/>
          </c:spPr>
          <c:marker>
            <c:symbol val="square"/>
            <c:size val="5"/>
            <c:spPr>
              <a:ln w="12700"/>
            </c:spPr>
          </c:marker>
          <c:xVal>
            <c:numRef>
              <c:f>PROCTOR!$P$31:$T$31</c:f>
            </c:numRef>
          </c:xVal>
          <c:yVal>
            <c:numRef>
              <c:f>PROCTOR!$P$13:$T$13</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4-0FFF-48BC-9AC3-9726AB04CD90}"/>
            </c:ext>
          </c:extLst>
        </c:ser>
        <c:dLbls>
          <c:showLegendKey val="0"/>
          <c:showVal val="0"/>
          <c:showCatName val="0"/>
          <c:showSerName val="0"/>
          <c:showPercent val="0"/>
          <c:showBubbleSize val="0"/>
        </c:dLbls>
        <c:axId val="-1534240400"/>
        <c:axId val="-1534244752"/>
      </c:scatterChart>
      <c:valAx>
        <c:axId val="-1534240400"/>
        <c:scaling>
          <c:orientation val="minMax"/>
          <c:max val="20"/>
          <c:min val="1"/>
        </c:scaling>
        <c:delete val="0"/>
        <c:axPos val="b"/>
        <c:majorGridlines>
          <c:spPr>
            <a:ln>
              <a:solidFill>
                <a:schemeClr val="tx1">
                  <a:lumMod val="50000"/>
                  <a:lumOff val="50000"/>
                </a:schemeClr>
              </a:solidFill>
            </a:ln>
          </c:spPr>
        </c:majorGridlines>
        <c:minorGridlines>
          <c:spPr>
            <a:ln>
              <a:solidFill>
                <a:schemeClr val="bg1">
                  <a:lumMod val="75000"/>
                </a:schemeClr>
              </a:solidFill>
            </a:ln>
          </c:spPr>
        </c:minorGridlines>
        <c:numFmt formatCode="0.0" sourceLinked="0"/>
        <c:majorTickMark val="out"/>
        <c:minorTickMark val="none"/>
        <c:tickLblPos val="nextTo"/>
        <c:txPr>
          <a:bodyPr rot="0" vert="horz"/>
          <a:lstStyle/>
          <a:p>
            <a:pPr>
              <a:defRPr sz="800" b="0" i="0" u="none" strike="noStrike" baseline="0">
                <a:solidFill>
                  <a:srgbClr val="000000"/>
                </a:solidFill>
                <a:latin typeface="Arial" panose="020B0604020202020204" pitchFamily="34" charset="0"/>
                <a:ea typeface="Calibri"/>
                <a:cs typeface="Calibri"/>
              </a:defRPr>
            </a:pPr>
            <a:endParaRPr lang="es-CO"/>
          </a:p>
        </c:txPr>
        <c:crossAx val="-1534244752"/>
        <c:crosses val="autoZero"/>
        <c:crossBetween val="midCat"/>
      </c:valAx>
      <c:valAx>
        <c:axId val="-1534244752"/>
        <c:scaling>
          <c:orientation val="minMax"/>
          <c:max val="25"/>
          <c:min val="17.5"/>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panose="020B0604020202020204" pitchFamily="34" charset="0"/>
                <a:ea typeface="Calibri"/>
                <a:cs typeface="Calibri"/>
              </a:defRPr>
            </a:pPr>
            <a:endParaRPr lang="es-CO"/>
          </a:p>
        </c:txPr>
        <c:crossAx val="-1534240400"/>
        <c:crosses val="autoZero"/>
        <c:crossBetween val="midCat"/>
      </c:valAx>
    </c:plotArea>
    <c:legend>
      <c:legendPos val="r"/>
      <c:layout>
        <c:manualLayout>
          <c:xMode val="edge"/>
          <c:yMode val="edge"/>
          <c:x val="0.54098906386701651"/>
          <c:y val="0.6885507824180207"/>
          <c:w val="0.40221697287839031"/>
          <c:h val="0.13503571547227491"/>
        </c:manualLayout>
      </c:layout>
      <c:overlay val="0"/>
      <c:spPr>
        <a:solidFill>
          <a:schemeClr val="bg1"/>
        </a:solidFill>
        <a:ln>
          <a:solidFill>
            <a:schemeClr val="tx1">
              <a:lumMod val="50000"/>
              <a:lumOff val="50000"/>
            </a:schemeClr>
          </a:solidFill>
        </a:ln>
      </c:spPr>
      <c:txPr>
        <a:bodyPr/>
        <a:lstStyle/>
        <a:p>
          <a:pPr>
            <a:defRPr sz="845" b="0" i="0" u="none" strike="noStrike" baseline="0">
              <a:solidFill>
                <a:srgbClr val="000000"/>
              </a:solidFill>
              <a:latin typeface="Calibri"/>
              <a:ea typeface="Calibri"/>
              <a:cs typeface="Calibri"/>
            </a:defRPr>
          </a:pPr>
          <a:endParaRPr lang="es-CO"/>
        </a:p>
      </c:txPr>
    </c:legend>
    <c:plotVisOnly val="1"/>
    <c:dispBlanksAs val="gap"/>
    <c:showDLblsOverMax val="0"/>
  </c:chart>
  <c:spPr>
    <a:solidFill>
      <a:schemeClr val="bg1">
        <a:lumMod val="85000"/>
      </a:schemeClr>
    </a:solidFill>
    <a:ln>
      <a:solidFill>
        <a:schemeClr val="bg1">
          <a:lumMod val="95000"/>
          <a:alpha val="95000"/>
        </a:schemeClr>
      </a:solidFill>
    </a:ln>
    <a:effectLst>
      <a:outerShdw blurRad="50800" dist="50800" dir="5400000" algn="ctr" rotWithShape="0">
        <a:schemeClr val="bg1">
          <a:lumMod val="85000"/>
        </a:schemeClr>
      </a:outerShdw>
      <a:softEdge rad="63500"/>
    </a:effectLst>
    <a:scene3d>
      <a:camera prst="orthographicFront"/>
      <a:lightRig rig="threePt" dir="t"/>
    </a:scene3d>
    <a:sp3d prstMaterial="matte"/>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999" l="0.70000000000000062" r="0.70000000000000062" t="0.75000000000000999"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s-CO" sz="900"/>
              <a:t>ENSAYO C.B.R. CURVAS DE PENETRACIÓN
</a:t>
            </a:r>
          </a:p>
        </c:rich>
      </c:tx>
      <c:layout>
        <c:manualLayout>
          <c:xMode val="edge"/>
          <c:yMode val="edge"/>
          <c:x val="0.29171309055117711"/>
          <c:y val="3.0148119596938479E-2"/>
        </c:manualLayout>
      </c:layout>
      <c:overlay val="0"/>
      <c:spPr>
        <a:noFill/>
        <a:ln w="25400">
          <a:noFill/>
        </a:ln>
      </c:spPr>
    </c:title>
    <c:autoTitleDeleted val="0"/>
    <c:plotArea>
      <c:layout>
        <c:manualLayout>
          <c:layoutTarget val="inner"/>
          <c:xMode val="edge"/>
          <c:yMode val="edge"/>
          <c:x val="8.3228510498687708E-2"/>
          <c:y val="0.13271589303085371"/>
          <c:w val="0.77340551181102368"/>
          <c:h val="0.72170952407172884"/>
        </c:manualLayout>
      </c:layout>
      <c:scatterChart>
        <c:scatterStyle val="lineMarker"/>
        <c:varyColors val="0"/>
        <c:ser>
          <c:idx val="0"/>
          <c:order val="0"/>
          <c:tx>
            <c:v>Curva Nº1     56 Golpes</c:v>
          </c:tx>
          <c:spPr>
            <a:ln w="12700">
              <a:solidFill>
                <a:schemeClr val="tx2"/>
              </a:solidFill>
              <a:prstDash val="solid"/>
            </a:ln>
          </c:spPr>
          <c:marker>
            <c:symbol val="circle"/>
            <c:size val="4"/>
            <c:spPr>
              <a:noFill/>
              <a:ln>
                <a:solidFill>
                  <a:schemeClr val="tx2"/>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1'!$AM$15:$AM$27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CAEF-4B74-B72E-8C61FBF9AEEF}"/>
            </c:ext>
          </c:extLst>
        </c:ser>
        <c:ser>
          <c:idx val="1"/>
          <c:order val="1"/>
          <c:tx>
            <c:v>Curva Nº2   25 golpes </c:v>
          </c:tx>
          <c:spPr>
            <a:ln w="12700">
              <a:solidFill>
                <a:srgbClr val="004C22"/>
              </a:solidFill>
              <a:prstDash val="solid"/>
            </a:ln>
          </c:spPr>
          <c:marker>
            <c:symbol val="square"/>
            <c:size val="4"/>
            <c:spPr>
              <a:noFill/>
              <a:ln>
                <a:solidFill>
                  <a:srgbClr val="004C22"/>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1'!$AO$15:$AO$27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CAEF-4B74-B72E-8C61FBF9AEEF}"/>
            </c:ext>
          </c:extLst>
        </c:ser>
        <c:ser>
          <c:idx val="2"/>
          <c:order val="2"/>
          <c:tx>
            <c:v>curva Nº3    10 golpes</c:v>
          </c:tx>
          <c:spPr>
            <a:ln w="12700">
              <a:solidFill>
                <a:srgbClr val="FF0000"/>
              </a:solidFill>
              <a:prstDash val="solid"/>
            </a:ln>
          </c:spPr>
          <c:marker>
            <c:symbol val="triangle"/>
            <c:size val="4"/>
            <c:spPr>
              <a:noFill/>
              <a:ln>
                <a:solidFill>
                  <a:srgbClr val="FF0000"/>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1'!$AQ$15:$AQ$27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CAEF-4B74-B72E-8C61FBF9AEEF}"/>
            </c:ext>
          </c:extLst>
        </c:ser>
        <c:dLbls>
          <c:showLegendKey val="0"/>
          <c:showVal val="0"/>
          <c:showCatName val="0"/>
          <c:showSerName val="0"/>
          <c:showPercent val="0"/>
          <c:showBubbleSize val="0"/>
        </c:dLbls>
        <c:axId val="-1534239856"/>
        <c:axId val="-1534238224"/>
      </c:scatterChart>
      <c:valAx>
        <c:axId val="-1534239856"/>
        <c:scaling>
          <c:orientation val="minMax"/>
        </c:scaling>
        <c:delete val="0"/>
        <c:axPos val="b"/>
        <c:majorGridlines>
          <c:spPr>
            <a:ln w="3175">
              <a:solidFill>
                <a:schemeClr val="tx1">
                  <a:lumMod val="75000"/>
                  <a:lumOff val="25000"/>
                </a:schemeClr>
              </a:solidFill>
              <a:prstDash val="solid"/>
            </a:ln>
          </c:spPr>
        </c:majorGridlines>
        <c:minorGridlines>
          <c:spPr>
            <a:ln w="3175">
              <a:solidFill>
                <a:schemeClr val="bg1">
                  <a:lumMod val="85000"/>
                </a:schemeClr>
              </a:solidFill>
              <a:prstDash val="solid"/>
            </a:ln>
            <a:effectLst/>
          </c:spPr>
        </c:minorGridlines>
        <c:title>
          <c:tx>
            <c:rich>
              <a:bodyPr/>
              <a:lstStyle/>
              <a:p>
                <a:pPr>
                  <a:defRPr sz="900" b="1" i="0" u="none" strike="noStrike" baseline="0">
                    <a:solidFill>
                      <a:srgbClr val="000000"/>
                    </a:solidFill>
                    <a:latin typeface="Arial"/>
                    <a:ea typeface="Arial"/>
                    <a:cs typeface="Arial"/>
                  </a:defRPr>
                </a:pPr>
                <a:r>
                  <a:rPr lang="es-CO" sz="900"/>
                  <a:t>Penetración (plg)</a:t>
                </a:r>
              </a:p>
            </c:rich>
          </c:tx>
          <c:layout>
            <c:manualLayout>
              <c:xMode val="edge"/>
              <c:yMode val="edge"/>
              <c:x val="0.41201109691059196"/>
              <c:y val="0.92371271772846564"/>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8224"/>
        <c:crossesAt val="0"/>
        <c:crossBetween val="midCat"/>
        <c:majorUnit val="0.11000000000000001"/>
      </c:valAx>
      <c:valAx>
        <c:axId val="-1534238224"/>
        <c:scaling>
          <c:orientation val="minMax"/>
        </c:scaling>
        <c:delete val="0"/>
        <c:axPos val="l"/>
        <c:majorGridlines>
          <c:spPr>
            <a:ln w="3175">
              <a:solidFill>
                <a:schemeClr val="bg1">
                  <a:lumMod val="50000"/>
                </a:schemeClr>
              </a:solidFill>
              <a:prstDash val="solid"/>
            </a:ln>
          </c:spPr>
        </c:majorGridlines>
        <c:title>
          <c:tx>
            <c:rich>
              <a:bodyPr/>
              <a:lstStyle/>
              <a:p>
                <a:pPr>
                  <a:defRPr sz="800" b="0" i="0" u="none" strike="noStrike" baseline="0">
                    <a:solidFill>
                      <a:srgbClr val="000000"/>
                    </a:solidFill>
                    <a:latin typeface="Calibri"/>
                    <a:ea typeface="Calibri"/>
                    <a:cs typeface="Calibri"/>
                  </a:defRPr>
                </a:pPr>
                <a:r>
                  <a:rPr lang="es-CO" sz="800" b="1" i="0" u="none" strike="noStrike" baseline="0">
                    <a:solidFill>
                      <a:srgbClr val="000000"/>
                    </a:solidFill>
                    <a:latin typeface="Arial"/>
                    <a:cs typeface="Arial"/>
                  </a:rPr>
                  <a:t>Esfuerzo (lbf</a:t>
                </a:r>
              </a:p>
              <a:p>
                <a:pPr>
                  <a:defRPr sz="800" b="0" i="0" u="none" strike="noStrike" baseline="0">
                    <a:solidFill>
                      <a:srgbClr val="000000"/>
                    </a:solidFill>
                    <a:latin typeface="Calibri"/>
                    <a:ea typeface="Calibri"/>
                    <a:cs typeface="Calibri"/>
                  </a:defRPr>
                </a:pPr>
                <a:r>
                  <a:rPr lang="es-CO" sz="800" b="1" i="0" u="none" strike="noStrike" baseline="0">
                    <a:solidFill>
                      <a:srgbClr val="000000"/>
                    </a:solidFill>
                    <a:latin typeface="Arial"/>
                    <a:cs typeface="Arial"/>
                  </a:rPr>
                  <a:t>/plg</a:t>
                </a:r>
                <a:r>
                  <a:rPr lang="es-CO" sz="800" b="1" i="0" u="none" strike="noStrike" baseline="30000">
                    <a:solidFill>
                      <a:srgbClr val="000000"/>
                    </a:solidFill>
                    <a:latin typeface="Arial"/>
                    <a:cs typeface="Arial"/>
                  </a:rPr>
                  <a:t>2</a:t>
                </a:r>
                <a:r>
                  <a:rPr lang="es-CO" sz="800" b="1" i="0" u="none" strike="noStrike" baseline="0">
                    <a:solidFill>
                      <a:srgbClr val="000000"/>
                    </a:solidFill>
                    <a:latin typeface="Arial"/>
                    <a:cs typeface="Arial"/>
                  </a:rPr>
                  <a:t>)</a:t>
                </a:r>
              </a:p>
            </c:rich>
          </c:tx>
          <c:layout>
            <c:manualLayout>
              <c:xMode val="edge"/>
              <c:yMode val="edge"/>
              <c:x val="1.323326771653544E-2"/>
              <c:y val="0.25435236679331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O"/>
          </a:p>
        </c:txPr>
        <c:crossAx val="-1534239856"/>
        <c:crosses val="autoZero"/>
        <c:crossBetween val="midCat"/>
      </c:valAx>
      <c:spPr>
        <a:noFill/>
        <a:ln w="25400">
          <a:noFill/>
        </a:ln>
      </c:spPr>
    </c:plotArea>
    <c:legend>
      <c:legendPos val="tr"/>
      <c:layout>
        <c:manualLayout>
          <c:xMode val="edge"/>
          <c:yMode val="edge"/>
          <c:x val="0.86214924992784103"/>
          <c:y val="0.12442890442890443"/>
          <c:w val="0.1213352525892743"/>
          <c:h val="0.73298570196207979"/>
        </c:manualLayout>
      </c:layout>
      <c:overlay val="0"/>
      <c:spPr>
        <a:solidFill>
          <a:srgbClr val="FFFFFF"/>
        </a:solidFill>
        <a:ln w="3175">
          <a:noFill/>
          <a:prstDash val="solid"/>
        </a:ln>
      </c:spPr>
      <c:txPr>
        <a:bodyPr/>
        <a:lstStyle/>
        <a:p>
          <a:pPr>
            <a:defRPr sz="700" b="0"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noFill/>
      <a:prstDash val="solid"/>
    </a:ln>
    <a:effectLst>
      <a:outerShdw blurRad="50800" dist="50800" dir="5400000" algn="ctr" rotWithShape="0">
        <a:schemeClr val="bg1">
          <a:lumMod val="50000"/>
          <a:alpha val="95000"/>
        </a:schemeClr>
      </a:outerShdw>
      <a:softEdge rad="63500"/>
    </a:effectLst>
  </c:spPr>
  <c:txPr>
    <a:bodyPr/>
    <a:lstStyle/>
    <a:p>
      <a:pPr>
        <a:defRPr sz="1650" b="0" i="0" u="none" strike="noStrike" baseline="0">
          <a:solidFill>
            <a:srgbClr val="000000"/>
          </a:solidFill>
          <a:latin typeface="Arial"/>
          <a:ea typeface="Arial"/>
          <a:cs typeface="Arial"/>
        </a:defRPr>
      </a:pPr>
      <a:endParaRPr lang="es-CO"/>
    </a:p>
  </c:txPr>
  <c:printSettings>
    <c:headerFooter alignWithMargins="0"/>
    <c:pageMargins b="0" l="0.59055118110234428" r="0.19685039370078738" t="0" header="0" footer="0.78740157480314954"/>
    <c:pageSetup orientation="landscape" horizontalDpi="360"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2.emf"/><Relationship Id="rId4" Type="http://schemas.openxmlformats.org/officeDocument/2006/relationships/image" Target="../media/image8.emf"/></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8.emf"/><Relationship Id="rId1" Type="http://schemas.openxmlformats.org/officeDocument/2006/relationships/image" Target="../media/image1.jpeg"/><Relationship Id="rId4" Type="http://schemas.openxmlformats.org/officeDocument/2006/relationships/image" Target="../media/image2.emf"/></Relationships>
</file>

<file path=xl/drawings/_rels/drawing12.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10.emf"/><Relationship Id="rId1" Type="http://schemas.openxmlformats.org/officeDocument/2006/relationships/image" Target="../media/image1.jpeg"/><Relationship Id="rId4" Type="http://schemas.openxmlformats.org/officeDocument/2006/relationships/image" Target="../media/image4.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10.emf"/><Relationship Id="rId1" Type="http://schemas.openxmlformats.org/officeDocument/2006/relationships/image" Target="../media/image1.jpeg"/><Relationship Id="rId4" Type="http://schemas.openxmlformats.org/officeDocument/2006/relationships/image" Target="../media/image3.emf"/></Relationships>
</file>

<file path=xl/drawings/_rels/drawing1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emf"/><Relationship Id="rId7" Type="http://schemas.openxmlformats.org/officeDocument/2006/relationships/image" Target="../media/image20.png"/><Relationship Id="rId2" Type="http://schemas.openxmlformats.org/officeDocument/2006/relationships/image" Target="../media/image15.emf"/><Relationship Id="rId1" Type="http://schemas.openxmlformats.org/officeDocument/2006/relationships/image" Target="../media/image1.jpe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5.png"/><Relationship Id="rId1" Type="http://schemas.openxmlformats.org/officeDocument/2006/relationships/image" Target="../media/image1.jpeg"/><Relationship Id="rId5" Type="http://schemas.openxmlformats.org/officeDocument/2006/relationships/image" Target="../media/image2.emf"/><Relationship Id="rId4" Type="http://schemas.openxmlformats.org/officeDocument/2006/relationships/image" Target="../media/image8.emf"/></Relationships>
</file>

<file path=xl/drawings/_rels/drawing17.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1.jpeg"/><Relationship Id="rId1" Type="http://schemas.openxmlformats.org/officeDocument/2006/relationships/image" Target="../media/image26.png"/><Relationship Id="rId5" Type="http://schemas.openxmlformats.org/officeDocument/2006/relationships/image" Target="../media/image10.emf"/><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8.emf"/><Relationship Id="rId1" Type="http://schemas.openxmlformats.org/officeDocument/2006/relationships/image" Target="../media/image1.jpeg"/><Relationship Id="rId4" Type="http://schemas.openxmlformats.org/officeDocument/2006/relationships/image" Target="../media/image2.emf"/></Relationships>
</file>

<file path=xl/drawings/_rels/drawing19.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jpeg"/><Relationship Id="rId1" Type="http://schemas.openxmlformats.org/officeDocument/2006/relationships/chart" Target="../charts/chart8.xml"/><Relationship Id="rId5" Type="http://schemas.openxmlformats.org/officeDocument/2006/relationships/image" Target="../media/image2.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chart" Target="../charts/chart3.xml"/><Relationship Id="rId7"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8.emf"/><Relationship Id="rId5" Type="http://schemas.openxmlformats.org/officeDocument/2006/relationships/image" Target="../media/image2.emf"/><Relationship Id="rId4" Type="http://schemas.openxmlformats.org/officeDocument/2006/relationships/image" Target="../media/image1.jpeg"/><Relationship Id="rId9"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1.jpeg"/><Relationship Id="rId7"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28.png"/><Relationship Id="rId5" Type="http://schemas.openxmlformats.org/officeDocument/2006/relationships/image" Target="../media/image13.png"/><Relationship Id="rId10" Type="http://schemas.openxmlformats.org/officeDocument/2006/relationships/image" Target="../media/image10.emf"/><Relationship Id="rId4" Type="http://schemas.openxmlformats.org/officeDocument/2006/relationships/image" Target="../media/image27.jpeg"/><Relationship Id="rId9" Type="http://schemas.openxmlformats.org/officeDocument/2006/relationships/image" Target="../media/image4.emf"/></Relationships>
</file>

<file path=xl/drawings/_rels/drawing22.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1.jpeg"/><Relationship Id="rId1" Type="http://schemas.openxmlformats.org/officeDocument/2006/relationships/chart" Target="../charts/chart12.xml"/><Relationship Id="rId5" Type="http://schemas.openxmlformats.org/officeDocument/2006/relationships/image" Target="../media/image2.emf"/><Relationship Id="rId4"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3" Type="http://schemas.openxmlformats.org/officeDocument/2006/relationships/image" Target="../media/image39.png"/><Relationship Id="rId18" Type="http://schemas.openxmlformats.org/officeDocument/2006/relationships/image" Target="../media/image43.png"/><Relationship Id="rId26" Type="http://schemas.openxmlformats.org/officeDocument/2006/relationships/image" Target="../media/image51.png"/><Relationship Id="rId3" Type="http://schemas.openxmlformats.org/officeDocument/2006/relationships/image" Target="../media/image30.png"/><Relationship Id="rId21" Type="http://schemas.openxmlformats.org/officeDocument/2006/relationships/image" Target="../media/image46.png"/><Relationship Id="rId34" Type="http://schemas.openxmlformats.org/officeDocument/2006/relationships/image" Target="../media/image58.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2.png"/><Relationship Id="rId25" Type="http://schemas.openxmlformats.org/officeDocument/2006/relationships/image" Target="../media/image50.png"/><Relationship Id="rId33" Type="http://schemas.microsoft.com/office/2007/relationships/hdphoto" Target="../media/hdphoto3.wdp"/><Relationship Id="rId2" Type="http://schemas.microsoft.com/office/2007/relationships/hdphoto" Target="../media/hdphoto1.wdp"/><Relationship Id="rId16" Type="http://schemas.openxmlformats.org/officeDocument/2006/relationships/image" Target="../media/image41.png"/><Relationship Id="rId20" Type="http://schemas.openxmlformats.org/officeDocument/2006/relationships/image" Target="../media/image45.png"/><Relationship Id="rId29" Type="http://schemas.openxmlformats.org/officeDocument/2006/relationships/image" Target="../media/image54.png"/><Relationship Id="rId1" Type="http://schemas.openxmlformats.org/officeDocument/2006/relationships/image" Target="../media/image29.png"/><Relationship Id="rId6" Type="http://schemas.openxmlformats.org/officeDocument/2006/relationships/image" Target="../media/image32.jpeg"/><Relationship Id="rId11" Type="http://schemas.openxmlformats.org/officeDocument/2006/relationships/image" Target="../media/image37.png"/><Relationship Id="rId24" Type="http://schemas.openxmlformats.org/officeDocument/2006/relationships/image" Target="../media/image49.png"/><Relationship Id="rId32" Type="http://schemas.openxmlformats.org/officeDocument/2006/relationships/image" Target="../media/image57.png"/><Relationship Id="rId5" Type="http://schemas.openxmlformats.org/officeDocument/2006/relationships/image" Target="../media/image31.png"/><Relationship Id="rId15" Type="http://schemas.openxmlformats.org/officeDocument/2006/relationships/image" Target="../media/image40.emf"/><Relationship Id="rId23" Type="http://schemas.openxmlformats.org/officeDocument/2006/relationships/image" Target="../media/image48.png"/><Relationship Id="rId28" Type="http://schemas.openxmlformats.org/officeDocument/2006/relationships/image" Target="../media/image53.png"/><Relationship Id="rId10" Type="http://schemas.openxmlformats.org/officeDocument/2006/relationships/image" Target="../media/image36.png"/><Relationship Id="rId19" Type="http://schemas.openxmlformats.org/officeDocument/2006/relationships/image" Target="../media/image44.png"/><Relationship Id="rId31" Type="http://schemas.openxmlformats.org/officeDocument/2006/relationships/image" Target="../media/image56.png"/><Relationship Id="rId4" Type="http://schemas.microsoft.com/office/2007/relationships/hdphoto" Target="../media/hdphoto2.wdp"/><Relationship Id="rId9" Type="http://schemas.openxmlformats.org/officeDocument/2006/relationships/image" Target="../media/image35.png"/><Relationship Id="rId14" Type="http://schemas.openxmlformats.org/officeDocument/2006/relationships/image" Target="../media/image20.png"/><Relationship Id="rId22" Type="http://schemas.openxmlformats.org/officeDocument/2006/relationships/image" Target="../media/image47.png"/><Relationship Id="rId27" Type="http://schemas.openxmlformats.org/officeDocument/2006/relationships/image" Target="../media/image52.png"/><Relationship Id="rId30" Type="http://schemas.openxmlformats.org/officeDocument/2006/relationships/image" Target="../media/image55.png"/><Relationship Id="rId35" Type="http://schemas.openxmlformats.org/officeDocument/2006/relationships/image" Target="../media/image18.png"/><Relationship Id="rId8" Type="http://schemas.openxmlformats.org/officeDocument/2006/relationships/image" Target="../media/image3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1.jpeg"/><Relationship Id="rId1" Type="http://schemas.openxmlformats.org/officeDocument/2006/relationships/chart" Target="../charts/chart6.xml"/><Relationship Id="rId5" Type="http://schemas.openxmlformats.org/officeDocument/2006/relationships/image" Target="../media/image2.emf"/><Relationship Id="rId4"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8.emf"/><Relationship Id="rId1" Type="http://schemas.openxmlformats.org/officeDocument/2006/relationships/image" Target="../media/image1.jpeg"/><Relationship Id="rId4" Type="http://schemas.openxmlformats.org/officeDocument/2006/relationships/image" Target="../media/image10.emf"/></Relationships>
</file>

<file path=xl/drawings/_rels/drawing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7.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8.emf"/><Relationship Id="rId1" Type="http://schemas.openxmlformats.org/officeDocument/2006/relationships/image" Target="../media/image1.jpeg"/><Relationship Id="rId4" Type="http://schemas.openxmlformats.org/officeDocument/2006/relationships/image" Target="../media/image2.emf"/></Relationships>
</file>

<file path=xl/drawings/_rels/drawing9.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image" Target="../media/image13.png"/><Relationship Id="rId7" Type="http://schemas.openxmlformats.org/officeDocument/2006/relationships/image" Target="../media/image4.emf"/><Relationship Id="rId2" Type="http://schemas.openxmlformats.org/officeDocument/2006/relationships/image" Target="../media/image12.jpeg"/><Relationship Id="rId1" Type="http://schemas.openxmlformats.org/officeDocument/2006/relationships/chart" Target="../charts/chart7.xml"/><Relationship Id="rId6" Type="http://schemas.openxmlformats.org/officeDocument/2006/relationships/image" Target="../media/image8.emf"/><Relationship Id="rId5" Type="http://schemas.openxmlformats.org/officeDocument/2006/relationships/image" Target="../media/image1.jpe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7.emf"/><Relationship Id="rId1" Type="http://schemas.openxmlformats.org/officeDocument/2006/relationships/image" Target="../media/image5.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9.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9.emf"/><Relationship Id="rId1" Type="http://schemas.openxmlformats.org/officeDocument/2006/relationships/image" Target="../media/image11.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9.emf"/><Relationship Id="rId1" Type="http://schemas.openxmlformats.org/officeDocument/2006/relationships/image" Target="../media/image11.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9.emf"/><Relationship Id="rId1" Type="http://schemas.openxmlformats.org/officeDocument/2006/relationships/image" Target="../media/image7.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7.emf"/><Relationship Id="rId1" Type="http://schemas.openxmlformats.org/officeDocument/2006/relationships/image" Target="../media/image9.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9.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7.emf"/><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9.emf"/><Relationship Id="rId1" Type="http://schemas.openxmlformats.org/officeDocument/2006/relationships/image" Target="../media/image5.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7.emf"/><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9.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9.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152401</xdr:colOff>
      <xdr:row>0</xdr:row>
      <xdr:rowOff>69606</xdr:rowOff>
    </xdr:from>
    <xdr:to>
      <xdr:col>6</xdr:col>
      <xdr:colOff>9527</xdr:colOff>
      <xdr:row>4</xdr:row>
      <xdr:rowOff>125169</xdr:rowOff>
    </xdr:to>
    <xdr:pic>
      <xdr:nvPicPr>
        <xdr:cNvPr id="2" name="Imagen 2">
          <a:extLst>
            <a:ext uri="{FF2B5EF4-FFF2-40B4-BE49-F238E27FC236}">
              <a16:creationId xmlns:a16="http://schemas.microsoft.com/office/drawing/2014/main" id="{CF27C38C-80D7-42DB-BD00-76FA60BE2364}"/>
            </a:ext>
          </a:extLst>
        </xdr:cNvPr>
        <xdr:cNvPicPr>
          <a:picLocks noChangeAspect="1"/>
        </xdr:cNvPicPr>
      </xdr:nvPicPr>
      <xdr:blipFill>
        <a:blip xmlns:r="http://schemas.openxmlformats.org/officeDocument/2006/relationships" r:embed="rId1" cstate="print"/>
        <a:srcRect/>
        <a:stretch>
          <a:fillRect/>
        </a:stretch>
      </xdr:blipFill>
      <xdr:spPr bwMode="auto">
        <a:xfrm>
          <a:off x="152401" y="69606"/>
          <a:ext cx="1400176" cy="788988"/>
        </a:xfrm>
        <a:prstGeom prst="rect">
          <a:avLst/>
        </a:prstGeom>
        <a:noFill/>
        <a:ln w="9525">
          <a:noFill/>
          <a:miter lim="800000"/>
          <a:headEnd/>
          <a:tailEnd/>
        </a:ln>
      </xdr:spPr>
    </xdr:pic>
    <xdr:clientData/>
  </xdr:twoCellAnchor>
  <xdr:twoCellAnchor>
    <xdr:from>
      <xdr:col>7</xdr:col>
      <xdr:colOff>38101</xdr:colOff>
      <xdr:row>48</xdr:row>
      <xdr:rowOff>500063</xdr:rowOff>
    </xdr:from>
    <xdr:to>
      <xdr:col>14</xdr:col>
      <xdr:colOff>69850</xdr:colOff>
      <xdr:row>48</xdr:row>
      <xdr:rowOff>500063</xdr:rowOff>
    </xdr:to>
    <xdr:cxnSp macro="">
      <xdr:nvCxnSpPr>
        <xdr:cNvPr id="3" name="Conector recto 10">
          <a:extLst>
            <a:ext uri="{FF2B5EF4-FFF2-40B4-BE49-F238E27FC236}">
              <a16:creationId xmlns:a16="http://schemas.microsoft.com/office/drawing/2014/main" id="{044CDFBC-5105-420C-9782-3D40B6E52A81}"/>
            </a:ext>
          </a:extLst>
        </xdr:cNvPr>
        <xdr:cNvCxnSpPr/>
      </xdr:nvCxnSpPr>
      <xdr:spPr>
        <a:xfrm>
          <a:off x="1781176" y="6681788"/>
          <a:ext cx="1298574" cy="0"/>
        </a:xfrm>
        <a:prstGeom prst="line">
          <a:avLst/>
        </a:prstGeom>
        <a:noFill/>
        <a:ln w="9525" cap="flat" cmpd="sng" algn="ctr">
          <a:solidFill>
            <a:sysClr val="window" lastClr="FFFFFF">
              <a:lumMod val="50000"/>
            </a:sysClr>
          </a:solidFill>
          <a:prstDash val="solid"/>
        </a:ln>
        <a:effectLst/>
      </xdr:spPr>
    </xdr:cxnSp>
    <xdr:clientData/>
  </xdr:twoCellAnchor>
  <xdr:twoCellAnchor>
    <xdr:from>
      <xdr:col>16</xdr:col>
      <xdr:colOff>7938</xdr:colOff>
      <xdr:row>49</xdr:row>
      <xdr:rowOff>1588</xdr:rowOff>
    </xdr:from>
    <xdr:to>
      <xdr:col>20</xdr:col>
      <xdr:colOff>293688</xdr:colOff>
      <xdr:row>49</xdr:row>
      <xdr:rowOff>1588</xdr:rowOff>
    </xdr:to>
    <xdr:cxnSp macro="">
      <xdr:nvCxnSpPr>
        <xdr:cNvPr id="4" name="Conector recto 10">
          <a:extLst>
            <a:ext uri="{FF2B5EF4-FFF2-40B4-BE49-F238E27FC236}">
              <a16:creationId xmlns:a16="http://schemas.microsoft.com/office/drawing/2014/main" id="{8E355E51-7756-49C2-B55A-1CB36CF00999}"/>
            </a:ext>
          </a:extLst>
        </xdr:cNvPr>
        <xdr:cNvCxnSpPr/>
      </xdr:nvCxnSpPr>
      <xdr:spPr>
        <a:xfrm>
          <a:off x="3398838" y="6688138"/>
          <a:ext cx="1295400" cy="0"/>
        </a:xfrm>
        <a:prstGeom prst="line">
          <a:avLst/>
        </a:prstGeom>
        <a:noFill/>
        <a:ln w="9525" cap="flat" cmpd="sng" algn="ctr">
          <a:solidFill>
            <a:sysClr val="window" lastClr="FFFFFF">
              <a:lumMod val="50000"/>
            </a:sysClr>
          </a:solidFill>
          <a:prstDash val="solid"/>
        </a:ln>
        <a:effectLst/>
      </xdr:spPr>
    </xdr:cxnSp>
    <xdr:clientData/>
  </xdr:twoCellAnchor>
  <xdr:twoCellAnchor>
    <xdr:from>
      <xdr:col>21</xdr:col>
      <xdr:colOff>200026</xdr:colOff>
      <xdr:row>49</xdr:row>
      <xdr:rowOff>11113</xdr:rowOff>
    </xdr:from>
    <xdr:to>
      <xdr:col>23</xdr:col>
      <xdr:colOff>747713</xdr:colOff>
      <xdr:row>49</xdr:row>
      <xdr:rowOff>11113</xdr:rowOff>
    </xdr:to>
    <xdr:cxnSp macro="">
      <xdr:nvCxnSpPr>
        <xdr:cNvPr id="5" name="Conector recto 10">
          <a:extLst>
            <a:ext uri="{FF2B5EF4-FFF2-40B4-BE49-F238E27FC236}">
              <a16:creationId xmlns:a16="http://schemas.microsoft.com/office/drawing/2014/main" id="{4EE70EA1-F5C4-46CE-8F10-49FD4A7C6DE5}"/>
            </a:ext>
          </a:extLst>
        </xdr:cNvPr>
        <xdr:cNvCxnSpPr/>
      </xdr:nvCxnSpPr>
      <xdr:spPr>
        <a:xfrm>
          <a:off x="5057776" y="6697663"/>
          <a:ext cx="1214437" cy="0"/>
        </a:xfrm>
        <a:prstGeom prst="line">
          <a:avLst/>
        </a:prstGeom>
        <a:noFill/>
        <a:ln w="9525" cap="flat" cmpd="sng" algn="ctr">
          <a:solidFill>
            <a:sysClr val="window" lastClr="FFFFFF">
              <a:lumMod val="50000"/>
            </a:sysClr>
          </a:solidFill>
          <a:prstDash val="solid"/>
        </a:ln>
        <a:effectLst/>
      </xdr:spPr>
    </xdr:cxnSp>
    <xdr:clientData/>
  </xdr:twoCellAnchor>
  <mc:AlternateContent xmlns:mc="http://schemas.openxmlformats.org/markup-compatibility/2006">
    <mc:Choice xmlns:a14="http://schemas.microsoft.com/office/drawing/2010/main" Requires="a14">
      <xdr:twoCellAnchor editAs="oneCell">
        <xdr:from>
          <xdr:col>6</xdr:col>
          <xdr:colOff>0</xdr:colOff>
          <xdr:row>47</xdr:row>
          <xdr:rowOff>161925</xdr:rowOff>
        </xdr:from>
        <xdr:to>
          <xdr:col>14</xdr:col>
          <xdr:colOff>47625</xdr:colOff>
          <xdr:row>48</xdr:row>
          <xdr:rowOff>466725</xdr:rowOff>
        </xdr:to>
        <xdr:pic>
          <xdr:nvPicPr>
            <xdr:cNvPr id="6" name="Imagen 30">
              <a:extLst>
                <a:ext uri="{FF2B5EF4-FFF2-40B4-BE49-F238E27FC236}">
                  <a16:creationId xmlns:a16="http://schemas.microsoft.com/office/drawing/2014/main" id="{59AC9FD6-C725-4E05-B56C-ECFF95EDD4B9}"/>
                </a:ext>
              </a:extLst>
            </xdr:cNvPr>
            <xdr:cNvPicPr>
              <a:picLocks noChangeAspect="1" noChangeArrowheads="1"/>
              <a:extLst>
                <a:ext uri="{84589F7E-364E-4C9E-8A38-B11213B215E9}">
                  <a14:cameraTool cellRange="elaborofirmas1" spid="_x0000_s102292"/>
                </a:ext>
              </a:extLst>
            </xdr:cNvPicPr>
          </xdr:nvPicPr>
          <xdr:blipFill>
            <a:blip xmlns:r="http://schemas.openxmlformats.org/officeDocument/2006/relationships" r:embed="rId2"/>
            <a:srcRect/>
            <a:stretch>
              <a:fillRect/>
            </a:stretch>
          </xdr:blipFill>
          <xdr:spPr bwMode="auto">
            <a:xfrm>
              <a:off x="1543050" y="617220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20</xdr:col>
          <xdr:colOff>323850</xdr:colOff>
          <xdr:row>48</xdr:row>
          <xdr:rowOff>504825</xdr:rowOff>
        </xdr:to>
        <xdr:pic>
          <xdr:nvPicPr>
            <xdr:cNvPr id="7" name="Picture 23">
              <a:extLst>
                <a:ext uri="{FF2B5EF4-FFF2-40B4-BE49-F238E27FC236}">
                  <a16:creationId xmlns:a16="http://schemas.microsoft.com/office/drawing/2014/main" id="{BCFDDF14-8892-408E-A7B7-B736FFC3209D}"/>
                </a:ext>
              </a:extLst>
            </xdr:cNvPr>
            <xdr:cNvPicPr>
              <a:picLocks noChangeAspect="1" noChangeArrowheads="1"/>
              <a:extLst>
                <a:ext uri="{84589F7E-364E-4C9E-8A38-B11213B215E9}">
                  <a14:cameraTool cellRange="revisofirmas1" spid="_x0000_s102293"/>
                </a:ext>
              </a:extLst>
            </xdr:cNvPicPr>
          </xdr:nvPicPr>
          <xdr:blipFill>
            <a:blip xmlns:r="http://schemas.openxmlformats.org/officeDocument/2006/relationships" r:embed="rId3"/>
            <a:srcRect/>
            <a:stretch>
              <a:fillRect/>
            </a:stretch>
          </xdr:blipFill>
          <xdr:spPr bwMode="auto">
            <a:xfrm>
              <a:off x="3209925" y="61817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48</xdr:row>
          <xdr:rowOff>9525</xdr:rowOff>
        </xdr:from>
        <xdr:to>
          <xdr:col>23</xdr:col>
          <xdr:colOff>847725</xdr:colOff>
          <xdr:row>48</xdr:row>
          <xdr:rowOff>514350</xdr:rowOff>
        </xdr:to>
        <xdr:pic>
          <xdr:nvPicPr>
            <xdr:cNvPr id="8" name="Picture 24">
              <a:extLst>
                <a:ext uri="{FF2B5EF4-FFF2-40B4-BE49-F238E27FC236}">
                  <a16:creationId xmlns:a16="http://schemas.microsoft.com/office/drawing/2014/main" id="{40E9FACB-8BED-4CC1-82C7-C349145DACAA}"/>
                </a:ext>
              </a:extLst>
            </xdr:cNvPr>
            <xdr:cNvPicPr>
              <a:picLocks noChangeAspect="1" noChangeArrowheads="1"/>
              <a:extLst>
                <a:ext uri="{84589F7E-364E-4C9E-8A38-B11213B215E9}">
                  <a14:cameraTool cellRange="aprobofirmas" spid="_x0000_s102294"/>
                </a:ext>
              </a:extLst>
            </xdr:cNvPicPr>
          </xdr:nvPicPr>
          <xdr:blipFill>
            <a:blip xmlns:r="http://schemas.openxmlformats.org/officeDocument/2006/relationships" r:embed="rId4"/>
            <a:srcRect/>
            <a:stretch>
              <a:fillRect/>
            </a:stretch>
          </xdr:blipFill>
          <xdr:spPr bwMode="auto">
            <a:xfrm>
              <a:off x="4857750" y="619125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12</xdr:col>
      <xdr:colOff>516047</xdr:colOff>
      <xdr:row>33</xdr:row>
      <xdr:rowOff>152128</xdr:rowOff>
    </xdr:from>
    <xdr:to>
      <xdr:col>13</xdr:col>
      <xdr:colOff>926329</xdr:colOff>
      <xdr:row>33</xdr:row>
      <xdr:rowOff>152128</xdr:rowOff>
    </xdr:to>
    <xdr:cxnSp macro="">
      <xdr:nvCxnSpPr>
        <xdr:cNvPr id="2" name="Conector recto 10">
          <a:extLst>
            <a:ext uri="{FF2B5EF4-FFF2-40B4-BE49-F238E27FC236}">
              <a16:creationId xmlns:a16="http://schemas.microsoft.com/office/drawing/2014/main" id="{00000000-0008-0000-0700-000002000000}"/>
            </a:ext>
          </a:extLst>
        </xdr:cNvPr>
        <xdr:cNvCxnSpPr/>
      </xdr:nvCxnSpPr>
      <xdr:spPr>
        <a:xfrm>
          <a:off x="7174022" y="9305653"/>
          <a:ext cx="101988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123825</xdr:colOff>
      <xdr:row>28</xdr:row>
      <xdr:rowOff>0</xdr:rowOff>
    </xdr:from>
    <xdr:to>
      <xdr:col>5</xdr:col>
      <xdr:colOff>351093</xdr:colOff>
      <xdr:row>28</xdr:row>
      <xdr:rowOff>0</xdr:rowOff>
    </xdr:to>
    <xdr:cxnSp macro="">
      <xdr:nvCxnSpPr>
        <xdr:cNvPr id="3" name="Conector recto 13">
          <a:extLst>
            <a:ext uri="{FF2B5EF4-FFF2-40B4-BE49-F238E27FC236}">
              <a16:creationId xmlns:a16="http://schemas.microsoft.com/office/drawing/2014/main" id="{00000000-0008-0000-0700-000003000000}"/>
            </a:ext>
          </a:extLst>
        </xdr:cNvPr>
        <xdr:cNvCxnSpPr/>
      </xdr:nvCxnSpPr>
      <xdr:spPr>
        <a:xfrm>
          <a:off x="1924050" y="7924800"/>
          <a:ext cx="13131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28</xdr:row>
      <xdr:rowOff>0</xdr:rowOff>
    </xdr:from>
    <xdr:to>
      <xdr:col>8</xdr:col>
      <xdr:colOff>636843</xdr:colOff>
      <xdr:row>28</xdr:row>
      <xdr:rowOff>0</xdr:rowOff>
    </xdr:to>
    <xdr:cxnSp macro="">
      <xdr:nvCxnSpPr>
        <xdr:cNvPr id="4" name="Conector recto 13">
          <a:extLst>
            <a:ext uri="{FF2B5EF4-FFF2-40B4-BE49-F238E27FC236}">
              <a16:creationId xmlns:a16="http://schemas.microsoft.com/office/drawing/2014/main" id="{00000000-0008-0000-0700-000004000000}"/>
            </a:ext>
          </a:extLst>
        </xdr:cNvPr>
        <xdr:cNvCxnSpPr/>
      </xdr:nvCxnSpPr>
      <xdr:spPr>
        <a:xfrm>
          <a:off x="3429000" y="7924800"/>
          <a:ext cx="14274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28</xdr:row>
      <xdr:rowOff>0</xdr:rowOff>
    </xdr:from>
    <xdr:to>
      <xdr:col>12</xdr:col>
      <xdr:colOff>0</xdr:colOff>
      <xdr:row>28</xdr:row>
      <xdr:rowOff>0</xdr:rowOff>
    </xdr:to>
    <xdr:cxnSp macro="">
      <xdr:nvCxnSpPr>
        <xdr:cNvPr id="5" name="Conector recto 13">
          <a:extLst>
            <a:ext uri="{FF2B5EF4-FFF2-40B4-BE49-F238E27FC236}">
              <a16:creationId xmlns:a16="http://schemas.microsoft.com/office/drawing/2014/main" id="{00000000-0008-0000-0700-000005000000}"/>
            </a:ext>
          </a:extLst>
        </xdr:cNvPr>
        <xdr:cNvCxnSpPr/>
      </xdr:nvCxnSpPr>
      <xdr:spPr>
        <a:xfrm>
          <a:off x="5038725" y="7924800"/>
          <a:ext cx="143694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550474</xdr:colOff>
      <xdr:row>27</xdr:row>
      <xdr:rowOff>17611</xdr:rowOff>
    </xdr:from>
    <xdr:to>
      <xdr:col>17</xdr:col>
      <xdr:colOff>238623</xdr:colOff>
      <xdr:row>27</xdr:row>
      <xdr:rowOff>37406</xdr:rowOff>
    </xdr:to>
    <xdr:cxnSp macro="">
      <xdr:nvCxnSpPr>
        <xdr:cNvPr id="6" name="Conector recto 9">
          <a:extLst>
            <a:ext uri="{FF2B5EF4-FFF2-40B4-BE49-F238E27FC236}">
              <a16:creationId xmlns:a16="http://schemas.microsoft.com/office/drawing/2014/main" id="{00000000-0008-0000-0700-000006000000}"/>
            </a:ext>
          </a:extLst>
        </xdr:cNvPr>
        <xdr:cNvCxnSpPr/>
      </xdr:nvCxnSpPr>
      <xdr:spPr>
        <a:xfrm flipV="1">
          <a:off x="9551599" y="7380436"/>
          <a:ext cx="1697924" cy="197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0</xdr:colOff>
          <xdr:row>27</xdr:row>
          <xdr:rowOff>47625</xdr:rowOff>
        </xdr:from>
        <xdr:to>
          <xdr:col>5</xdr:col>
          <xdr:colOff>304800</xdr:colOff>
          <xdr:row>27</xdr:row>
          <xdr:rowOff>514350</xdr:rowOff>
        </xdr:to>
        <xdr:pic>
          <xdr:nvPicPr>
            <xdr:cNvPr id="7" name="Imagen 30">
              <a:extLst>
                <a:ext uri="{FF2B5EF4-FFF2-40B4-BE49-F238E27FC236}">
                  <a16:creationId xmlns:a16="http://schemas.microsoft.com/office/drawing/2014/main" id="{00000000-0008-0000-0700-000007000000}"/>
                </a:ext>
              </a:extLst>
            </xdr:cNvPr>
            <xdr:cNvPicPr>
              <a:picLocks noChangeAspect="1"/>
              <a:extLst>
                <a:ext uri="{84589F7E-364E-4C9E-8A38-B11213B215E9}">
                  <a14:cameraTool cellRange="elaborofirmas10" spid="_x0000_s221211"/>
                </a:ext>
              </a:extLst>
            </xdr:cNvPicPr>
          </xdr:nvPicPr>
          <xdr:blipFill>
            <a:blip xmlns:r="http://schemas.openxmlformats.org/officeDocument/2006/relationships" r:embed="rId1"/>
            <a:srcRect/>
            <a:stretch>
              <a:fillRect/>
            </a:stretch>
          </xdr:blipFill>
          <xdr:spPr bwMode="auto">
            <a:xfrm>
              <a:off x="1800225" y="7410450"/>
              <a:ext cx="1409700" cy="4667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53915</xdr:colOff>
      <xdr:row>0</xdr:row>
      <xdr:rowOff>80874</xdr:rowOff>
    </xdr:from>
    <xdr:to>
      <xdr:col>1</xdr:col>
      <xdr:colOff>961148</xdr:colOff>
      <xdr:row>4</xdr:row>
      <xdr:rowOff>98844</xdr:rowOff>
    </xdr:to>
    <xdr:pic>
      <xdr:nvPicPr>
        <xdr:cNvPr id="10" name="Imagen 18">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915" y="80874"/>
          <a:ext cx="1088208" cy="75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0</xdr:colOff>
          <xdr:row>27</xdr:row>
          <xdr:rowOff>57151</xdr:rowOff>
        </xdr:from>
        <xdr:to>
          <xdr:col>11</xdr:col>
          <xdr:colOff>523875</xdr:colOff>
          <xdr:row>27</xdr:row>
          <xdr:rowOff>533400</xdr:rowOff>
        </xdr:to>
        <xdr:pic>
          <xdr:nvPicPr>
            <xdr:cNvPr id="11" name="Picture 4">
              <a:extLst>
                <a:ext uri="{FF2B5EF4-FFF2-40B4-BE49-F238E27FC236}">
                  <a16:creationId xmlns:a16="http://schemas.microsoft.com/office/drawing/2014/main" id="{00000000-0008-0000-0700-00000B000000}"/>
                </a:ext>
              </a:extLst>
            </xdr:cNvPr>
            <xdr:cNvPicPr>
              <a:picLocks noChangeAspect="1"/>
              <a:extLst>
                <a:ext uri="{84589F7E-364E-4C9E-8A38-B11213B215E9}">
                  <a14:cameraTool cellRange="aprobofirmas10" spid="_x0000_s221212"/>
                </a:ext>
              </a:extLst>
            </xdr:cNvPicPr>
          </xdr:nvPicPr>
          <xdr:blipFill>
            <a:blip xmlns:r="http://schemas.openxmlformats.org/officeDocument/2006/relationships" r:embed="rId3"/>
            <a:srcRect/>
            <a:stretch>
              <a:fillRect/>
            </a:stretch>
          </xdr:blipFill>
          <xdr:spPr bwMode="auto">
            <a:xfrm>
              <a:off x="4857750" y="7419976"/>
              <a:ext cx="1628775" cy="4762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28575</xdr:rowOff>
        </xdr:from>
        <xdr:to>
          <xdr:col>8</xdr:col>
          <xdr:colOff>361950</xdr:colOff>
          <xdr:row>27</xdr:row>
          <xdr:rowOff>523875</xdr:rowOff>
        </xdr:to>
        <xdr:pic>
          <xdr:nvPicPr>
            <xdr:cNvPr id="14" name="Picture 3">
              <a:extLst>
                <a:ext uri="{FF2B5EF4-FFF2-40B4-BE49-F238E27FC236}">
                  <a16:creationId xmlns:a16="http://schemas.microsoft.com/office/drawing/2014/main" id="{00000000-0008-0000-0700-00000E000000}"/>
                </a:ext>
              </a:extLst>
            </xdr:cNvPr>
            <xdr:cNvPicPr>
              <a:picLocks noChangeAspect="1"/>
              <a:extLst>
                <a:ext uri="{84589F7E-364E-4C9E-8A38-B11213B215E9}">
                  <a14:cameraTool cellRange="revisofirmas10" spid="_x0000_s221213"/>
                </a:ext>
              </a:extLst>
            </xdr:cNvPicPr>
          </xdr:nvPicPr>
          <xdr:blipFill>
            <a:blip xmlns:r="http://schemas.openxmlformats.org/officeDocument/2006/relationships" r:embed="rId4"/>
            <a:srcRect/>
            <a:stretch>
              <a:fillRect/>
            </a:stretch>
          </xdr:blipFill>
          <xdr:spPr bwMode="auto">
            <a:xfrm>
              <a:off x="3314700" y="7391400"/>
              <a:ext cx="1466850" cy="495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104776</xdr:colOff>
      <xdr:row>0</xdr:row>
      <xdr:rowOff>103756</xdr:rowOff>
    </xdr:from>
    <xdr:to>
      <xdr:col>1</xdr:col>
      <xdr:colOff>438150</xdr:colOff>
      <xdr:row>4</xdr:row>
      <xdr:rowOff>140984</xdr:rowOff>
    </xdr:to>
    <xdr:pic>
      <xdr:nvPicPr>
        <xdr:cNvPr id="2" name="Imagen 18">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299435</xdr:colOff>
      <xdr:row>10</xdr:row>
      <xdr:rowOff>9525</xdr:rowOff>
    </xdr:from>
    <xdr:ext cx="1453166" cy="238125"/>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2690210" y="2181225"/>
          <a:ext cx="1453166"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200"/>
            <a:t>P</a:t>
          </a:r>
          <a:r>
            <a:rPr lang="es-ES" sz="1200" i="0">
              <a:latin typeface="Cambria Math" panose="02040503050406030204" pitchFamily="18" charset="0"/>
            </a:rPr>
            <a:t>=((</a:t>
          </a:r>
          <a:r>
            <a:rPr lang="es-ES" sz="1200" b="0" i="0">
              <a:latin typeface="Cambria Math" panose="02040503050406030204" pitchFamily="18" charset="0"/>
            </a:rPr>
            <a:t>𝑀−𝑅)/𝑀)</a:t>
          </a:r>
          <a:r>
            <a:rPr lang="es-ES" sz="1200"/>
            <a:t>*100</a:t>
          </a:r>
        </a:p>
      </xdr:txBody>
    </xdr:sp>
    <xdr:clientData/>
  </xdr:oneCellAnchor>
  <xdr:twoCellAnchor>
    <xdr:from>
      <xdr:col>2</xdr:col>
      <xdr:colOff>133350</xdr:colOff>
      <xdr:row>26</xdr:row>
      <xdr:rowOff>0</xdr:rowOff>
    </xdr:from>
    <xdr:to>
      <xdr:col>4</xdr:col>
      <xdr:colOff>551118</xdr:colOff>
      <xdr:row>26</xdr:row>
      <xdr:rowOff>0</xdr:rowOff>
    </xdr:to>
    <xdr:cxnSp macro="">
      <xdr:nvCxnSpPr>
        <xdr:cNvPr id="8" name="Conector recto 13">
          <a:extLst>
            <a:ext uri="{FF2B5EF4-FFF2-40B4-BE49-F238E27FC236}">
              <a16:creationId xmlns:a16="http://schemas.microsoft.com/office/drawing/2014/main" id="{00000000-0008-0000-0800-000008000000}"/>
            </a:ext>
          </a:extLst>
        </xdr:cNvPr>
        <xdr:cNvCxnSpPr/>
      </xdr:nvCxnSpPr>
      <xdr:spPr>
        <a:xfrm>
          <a:off x="1533525" y="82200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9" name="Conector recto 13">
          <a:extLst>
            <a:ext uri="{FF2B5EF4-FFF2-40B4-BE49-F238E27FC236}">
              <a16:creationId xmlns:a16="http://schemas.microsoft.com/office/drawing/2014/main" id="{00000000-0008-0000-0800-000009000000}"/>
            </a:ext>
          </a:extLst>
        </xdr:cNvPr>
        <xdr:cNvCxnSpPr/>
      </xdr:nvCxnSpPr>
      <xdr:spPr>
        <a:xfrm>
          <a:off x="3238500" y="82200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10" name="Conector recto 13">
          <a:extLst>
            <a:ext uri="{FF2B5EF4-FFF2-40B4-BE49-F238E27FC236}">
              <a16:creationId xmlns:a16="http://schemas.microsoft.com/office/drawing/2014/main" id="{00000000-0008-0000-0800-00000A000000}"/>
            </a:ext>
          </a:extLst>
        </xdr:cNvPr>
        <xdr:cNvCxnSpPr/>
      </xdr:nvCxnSpPr>
      <xdr:spPr>
        <a:xfrm>
          <a:off x="4981575" y="82200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47625</xdr:rowOff>
        </xdr:from>
        <xdr:to>
          <xdr:col>8</xdr:col>
          <xdr:colOff>0</xdr:colOff>
          <xdr:row>25</xdr:row>
          <xdr:rowOff>542925</xdr:rowOff>
        </xdr:to>
        <xdr:pic>
          <xdr:nvPicPr>
            <xdr:cNvPr id="23555" name="Picture 3">
              <a:extLst>
                <a:ext uri="{FF2B5EF4-FFF2-40B4-BE49-F238E27FC236}">
                  <a16:creationId xmlns:a16="http://schemas.microsoft.com/office/drawing/2014/main" id="{00000000-0008-0000-0800-0000035C0000}"/>
                </a:ext>
              </a:extLst>
            </xdr:cNvPr>
            <xdr:cNvPicPr>
              <a:picLocks noChangeAspect="1"/>
              <a:extLst>
                <a:ext uri="{84589F7E-364E-4C9E-8A38-B11213B215E9}">
                  <a14:cameraTool cellRange="revisofirmas9" spid="_x0000_s184381"/>
                </a:ext>
              </a:extLst>
            </xdr:cNvPicPr>
          </xdr:nvPicPr>
          <xdr:blipFill>
            <a:blip xmlns:r="http://schemas.openxmlformats.org/officeDocument/2006/relationships" r:embed="rId2"/>
            <a:srcRect/>
            <a:stretch>
              <a:fillRect/>
            </a:stretch>
          </xdr:blipFill>
          <xdr:spPr bwMode="auto">
            <a:xfrm>
              <a:off x="3114675" y="7153275"/>
              <a:ext cx="1676400" cy="49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28575</xdr:rowOff>
        </xdr:from>
        <xdr:to>
          <xdr:col>10</xdr:col>
          <xdr:colOff>400050</xdr:colOff>
          <xdr:row>26</xdr:row>
          <xdr:rowOff>0</xdr:rowOff>
        </xdr:to>
        <xdr:pic>
          <xdr:nvPicPr>
            <xdr:cNvPr id="23556" name="Picture 4">
              <a:extLst>
                <a:ext uri="{FF2B5EF4-FFF2-40B4-BE49-F238E27FC236}">
                  <a16:creationId xmlns:a16="http://schemas.microsoft.com/office/drawing/2014/main" id="{00000000-0008-0000-0800-0000045C0000}"/>
                </a:ext>
              </a:extLst>
            </xdr:cNvPr>
            <xdr:cNvPicPr>
              <a:picLocks noChangeAspect="1"/>
              <a:extLst>
                <a:ext uri="{84589F7E-364E-4C9E-8A38-B11213B215E9}">
                  <a14:cameraTool cellRange="aprobofirmas9" spid="_x0000_s184382"/>
                </a:ext>
              </a:extLst>
            </xdr:cNvPicPr>
          </xdr:nvPicPr>
          <xdr:blipFill>
            <a:blip xmlns:r="http://schemas.openxmlformats.org/officeDocument/2006/relationships" r:embed="rId3"/>
            <a:srcRect/>
            <a:stretch>
              <a:fillRect/>
            </a:stretch>
          </xdr:blipFill>
          <xdr:spPr bwMode="auto">
            <a:xfrm>
              <a:off x="4791075" y="7134225"/>
              <a:ext cx="1666875" cy="561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28575</xdr:rowOff>
        </xdr:from>
        <xdr:to>
          <xdr:col>4</xdr:col>
          <xdr:colOff>695325</xdr:colOff>
          <xdr:row>25</xdr:row>
          <xdr:rowOff>542925</xdr:rowOff>
        </xdr:to>
        <xdr:pic>
          <xdr:nvPicPr>
            <xdr:cNvPr id="23557" name="Picture 5">
              <a:extLst>
                <a:ext uri="{FF2B5EF4-FFF2-40B4-BE49-F238E27FC236}">
                  <a16:creationId xmlns:a16="http://schemas.microsoft.com/office/drawing/2014/main" id="{00000000-0008-0000-0800-0000055C0000}"/>
                </a:ext>
              </a:extLst>
            </xdr:cNvPr>
            <xdr:cNvPicPr>
              <a:picLocks noChangeAspect="1"/>
              <a:extLst>
                <a:ext uri="{84589F7E-364E-4C9E-8A38-B11213B215E9}">
                  <a14:cameraTool cellRange="elaborofirmas9" spid="_x0000_s184383"/>
                </a:ext>
              </a:extLst>
            </xdr:cNvPicPr>
          </xdr:nvPicPr>
          <xdr:blipFill>
            <a:blip xmlns:r="http://schemas.openxmlformats.org/officeDocument/2006/relationships" r:embed="rId4"/>
            <a:srcRect/>
            <a:stretch>
              <a:fillRect/>
            </a:stretch>
          </xdr:blipFill>
          <xdr:spPr bwMode="auto">
            <a:xfrm>
              <a:off x="1400175" y="7134225"/>
              <a:ext cx="1685925" cy="5143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104776</xdr:colOff>
      <xdr:row>0</xdr:row>
      <xdr:rowOff>103756</xdr:rowOff>
    </xdr:from>
    <xdr:to>
      <xdr:col>1</xdr:col>
      <xdr:colOff>438150</xdr:colOff>
      <xdr:row>4</xdr:row>
      <xdr:rowOff>140984</xdr:rowOff>
    </xdr:to>
    <xdr:pic>
      <xdr:nvPicPr>
        <xdr:cNvPr id="11" name="Imagen 18">
          <a:extLst>
            <a:ext uri="{FF2B5EF4-FFF2-40B4-BE49-F238E27FC236}">
              <a16:creationId xmlns:a16="http://schemas.microsoft.com/office/drawing/2014/main" id="{4A62654A-775A-4DD3-B849-4FE796EDF4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299435</xdr:colOff>
      <xdr:row>10</xdr:row>
      <xdr:rowOff>9525</xdr:rowOff>
    </xdr:from>
    <xdr:ext cx="1453166" cy="238125"/>
    <xdr:sp macro="" textlink="">
      <xdr:nvSpPr>
        <xdr:cNvPr id="12" name="CuadroTexto 11">
          <a:extLst>
            <a:ext uri="{FF2B5EF4-FFF2-40B4-BE49-F238E27FC236}">
              <a16:creationId xmlns:a16="http://schemas.microsoft.com/office/drawing/2014/main" id="{5643B970-351D-4722-880B-B0C798C393C6}"/>
            </a:ext>
          </a:extLst>
        </xdr:cNvPr>
        <xdr:cNvSpPr txBox="1"/>
      </xdr:nvSpPr>
      <xdr:spPr>
        <a:xfrm>
          <a:off x="2690210" y="2181225"/>
          <a:ext cx="1453166"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200"/>
            <a:t>P</a:t>
          </a:r>
          <a:r>
            <a:rPr lang="es-ES" sz="1200" i="0">
              <a:latin typeface="Cambria Math" panose="02040503050406030204" pitchFamily="18" charset="0"/>
            </a:rPr>
            <a:t>=((</a:t>
          </a:r>
          <a:r>
            <a:rPr lang="es-ES" sz="1200" b="0" i="0">
              <a:latin typeface="Cambria Math" panose="02040503050406030204" pitchFamily="18" charset="0"/>
            </a:rPr>
            <a:t>𝑀−𝑅)/𝑀)</a:t>
          </a:r>
          <a:r>
            <a:rPr lang="es-ES" sz="1200"/>
            <a:t>*100</a:t>
          </a:r>
        </a:p>
      </xdr:txBody>
    </xdr:sp>
    <xdr:clientData/>
  </xdr:oneCellAnchor>
  <xdr:twoCellAnchor>
    <xdr:from>
      <xdr:col>2</xdr:col>
      <xdr:colOff>133350</xdr:colOff>
      <xdr:row>26</xdr:row>
      <xdr:rowOff>0</xdr:rowOff>
    </xdr:from>
    <xdr:to>
      <xdr:col>4</xdr:col>
      <xdr:colOff>551118</xdr:colOff>
      <xdr:row>26</xdr:row>
      <xdr:rowOff>0</xdr:rowOff>
    </xdr:to>
    <xdr:cxnSp macro="">
      <xdr:nvCxnSpPr>
        <xdr:cNvPr id="13" name="Conector recto 13">
          <a:extLst>
            <a:ext uri="{FF2B5EF4-FFF2-40B4-BE49-F238E27FC236}">
              <a16:creationId xmlns:a16="http://schemas.microsoft.com/office/drawing/2014/main" id="{854D5AEE-EF0E-44D8-B773-9A8AEE5B4353}"/>
            </a:ext>
          </a:extLst>
        </xdr:cNvPr>
        <xdr:cNvCxnSpPr/>
      </xdr:nvCxnSpPr>
      <xdr:spPr>
        <a:xfrm>
          <a:off x="15335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14" name="Conector recto 13">
          <a:extLst>
            <a:ext uri="{FF2B5EF4-FFF2-40B4-BE49-F238E27FC236}">
              <a16:creationId xmlns:a16="http://schemas.microsoft.com/office/drawing/2014/main" id="{A6ED1805-AF6B-4820-AB71-6B069A5E5931}"/>
            </a:ext>
          </a:extLst>
        </xdr:cNvPr>
        <xdr:cNvCxnSpPr/>
      </xdr:nvCxnSpPr>
      <xdr:spPr>
        <a:xfrm>
          <a:off x="32480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15" name="Conector recto 13">
          <a:extLst>
            <a:ext uri="{FF2B5EF4-FFF2-40B4-BE49-F238E27FC236}">
              <a16:creationId xmlns:a16="http://schemas.microsoft.com/office/drawing/2014/main" id="{C7CD3F7A-1BD0-46B1-954C-3784068B6030}"/>
            </a:ext>
          </a:extLst>
        </xdr:cNvPr>
        <xdr:cNvCxnSpPr/>
      </xdr:nvCxnSpPr>
      <xdr:spPr>
        <a:xfrm>
          <a:off x="494347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104776</xdr:colOff>
      <xdr:row>0</xdr:row>
      <xdr:rowOff>103756</xdr:rowOff>
    </xdr:from>
    <xdr:to>
      <xdr:col>1</xdr:col>
      <xdr:colOff>438150</xdr:colOff>
      <xdr:row>4</xdr:row>
      <xdr:rowOff>140984</xdr:rowOff>
    </xdr:to>
    <xdr:pic>
      <xdr:nvPicPr>
        <xdr:cNvPr id="19" name="Imagen 18">
          <a:extLst>
            <a:ext uri="{FF2B5EF4-FFF2-40B4-BE49-F238E27FC236}">
              <a16:creationId xmlns:a16="http://schemas.microsoft.com/office/drawing/2014/main" id="{231315FC-C129-4E2D-A698-5595BB568A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299435</xdr:colOff>
      <xdr:row>10</xdr:row>
      <xdr:rowOff>9525</xdr:rowOff>
    </xdr:from>
    <xdr:ext cx="1453166" cy="238125"/>
    <xdr:sp macro="" textlink="">
      <xdr:nvSpPr>
        <xdr:cNvPr id="20" name="CuadroTexto 19">
          <a:extLst>
            <a:ext uri="{FF2B5EF4-FFF2-40B4-BE49-F238E27FC236}">
              <a16:creationId xmlns:a16="http://schemas.microsoft.com/office/drawing/2014/main" id="{A2329F75-0BE0-4FA6-B51A-0BDD8071A24D}"/>
            </a:ext>
          </a:extLst>
        </xdr:cNvPr>
        <xdr:cNvSpPr txBox="1"/>
      </xdr:nvSpPr>
      <xdr:spPr>
        <a:xfrm>
          <a:off x="2690210" y="2181225"/>
          <a:ext cx="1453166"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200"/>
            <a:t>P</a:t>
          </a:r>
          <a:r>
            <a:rPr lang="es-ES" sz="1200" i="0">
              <a:latin typeface="Cambria Math" panose="02040503050406030204" pitchFamily="18" charset="0"/>
            </a:rPr>
            <a:t>=((</a:t>
          </a:r>
          <a:r>
            <a:rPr lang="es-ES" sz="1200" b="0" i="0">
              <a:latin typeface="Cambria Math" panose="02040503050406030204" pitchFamily="18" charset="0"/>
            </a:rPr>
            <a:t>𝑀−𝑅)/𝑀)</a:t>
          </a:r>
          <a:r>
            <a:rPr lang="es-ES" sz="1200"/>
            <a:t>*100</a:t>
          </a:r>
        </a:p>
      </xdr:txBody>
    </xdr:sp>
    <xdr:clientData/>
  </xdr:oneCellAnchor>
  <xdr:twoCellAnchor>
    <xdr:from>
      <xdr:col>2</xdr:col>
      <xdr:colOff>133350</xdr:colOff>
      <xdr:row>26</xdr:row>
      <xdr:rowOff>0</xdr:rowOff>
    </xdr:from>
    <xdr:to>
      <xdr:col>4</xdr:col>
      <xdr:colOff>551118</xdr:colOff>
      <xdr:row>26</xdr:row>
      <xdr:rowOff>0</xdr:rowOff>
    </xdr:to>
    <xdr:cxnSp macro="">
      <xdr:nvCxnSpPr>
        <xdr:cNvPr id="21" name="Conector recto 13">
          <a:extLst>
            <a:ext uri="{FF2B5EF4-FFF2-40B4-BE49-F238E27FC236}">
              <a16:creationId xmlns:a16="http://schemas.microsoft.com/office/drawing/2014/main" id="{E7C99532-7A7F-4CEF-B0F9-5484B692F2E0}"/>
            </a:ext>
          </a:extLst>
        </xdr:cNvPr>
        <xdr:cNvCxnSpPr/>
      </xdr:nvCxnSpPr>
      <xdr:spPr>
        <a:xfrm>
          <a:off x="15335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22" name="Conector recto 13">
          <a:extLst>
            <a:ext uri="{FF2B5EF4-FFF2-40B4-BE49-F238E27FC236}">
              <a16:creationId xmlns:a16="http://schemas.microsoft.com/office/drawing/2014/main" id="{DB5BF5F2-1929-4055-B199-FB48185DA2C1}"/>
            </a:ext>
          </a:extLst>
        </xdr:cNvPr>
        <xdr:cNvCxnSpPr/>
      </xdr:nvCxnSpPr>
      <xdr:spPr>
        <a:xfrm>
          <a:off x="32480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23" name="Conector recto 13">
          <a:extLst>
            <a:ext uri="{FF2B5EF4-FFF2-40B4-BE49-F238E27FC236}">
              <a16:creationId xmlns:a16="http://schemas.microsoft.com/office/drawing/2014/main" id="{8724CD49-7752-4375-931D-E7A81913176E}"/>
            </a:ext>
          </a:extLst>
        </xdr:cNvPr>
        <xdr:cNvCxnSpPr/>
      </xdr:nvCxnSpPr>
      <xdr:spPr>
        <a:xfrm>
          <a:off x="494347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66675</xdr:rowOff>
    </xdr:from>
    <xdr:to>
      <xdr:col>0</xdr:col>
      <xdr:colOff>1038225</xdr:colOff>
      <xdr:row>4</xdr:row>
      <xdr:rowOff>128974</xdr:rowOff>
    </xdr:to>
    <xdr:pic>
      <xdr:nvPicPr>
        <xdr:cNvPr id="2" name="Imagen 2">
          <a:extLst>
            <a:ext uri="{FF2B5EF4-FFF2-40B4-BE49-F238E27FC236}">
              <a16:creationId xmlns:a16="http://schemas.microsoft.com/office/drawing/2014/main" id="{361B2CF3-96D1-4B70-9311-7B695199E4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942975" cy="795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21</xdr:row>
      <xdr:rowOff>0</xdr:rowOff>
    </xdr:from>
    <xdr:to>
      <xdr:col>6</xdr:col>
      <xdr:colOff>485775</xdr:colOff>
      <xdr:row>21</xdr:row>
      <xdr:rowOff>0</xdr:rowOff>
    </xdr:to>
    <xdr:cxnSp macro="">
      <xdr:nvCxnSpPr>
        <xdr:cNvPr id="3" name="Conector recto 2">
          <a:extLst>
            <a:ext uri="{FF2B5EF4-FFF2-40B4-BE49-F238E27FC236}">
              <a16:creationId xmlns:a16="http://schemas.microsoft.com/office/drawing/2014/main" id="{F1472DAF-8B39-4CEF-AA86-E7535871E962}"/>
            </a:ext>
          </a:extLst>
        </xdr:cNvPr>
        <xdr:cNvCxnSpPr/>
      </xdr:nvCxnSpPr>
      <xdr:spPr>
        <a:xfrm>
          <a:off x="2971800" y="5972175"/>
          <a:ext cx="155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76200</xdr:colOff>
      <xdr:row>21</xdr:row>
      <xdr:rowOff>0</xdr:rowOff>
    </xdr:from>
    <xdr:to>
      <xdr:col>9</xdr:col>
      <xdr:colOff>466725</xdr:colOff>
      <xdr:row>21</xdr:row>
      <xdr:rowOff>0</xdr:rowOff>
    </xdr:to>
    <xdr:cxnSp macro="">
      <xdr:nvCxnSpPr>
        <xdr:cNvPr id="4" name="Conector recto 3">
          <a:extLst>
            <a:ext uri="{FF2B5EF4-FFF2-40B4-BE49-F238E27FC236}">
              <a16:creationId xmlns:a16="http://schemas.microsoft.com/office/drawing/2014/main" id="{DC61BBC3-296E-4534-AF77-1A76C28A221C}"/>
            </a:ext>
          </a:extLst>
        </xdr:cNvPr>
        <xdr:cNvCxnSpPr/>
      </xdr:nvCxnSpPr>
      <xdr:spPr>
        <a:xfrm>
          <a:off x="4695825" y="5972175"/>
          <a:ext cx="155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104775</xdr:colOff>
      <xdr:row>21</xdr:row>
      <xdr:rowOff>0</xdr:rowOff>
    </xdr:from>
    <xdr:to>
      <xdr:col>3</xdr:col>
      <xdr:colOff>495300</xdr:colOff>
      <xdr:row>21</xdr:row>
      <xdr:rowOff>0</xdr:rowOff>
    </xdr:to>
    <xdr:cxnSp macro="">
      <xdr:nvCxnSpPr>
        <xdr:cNvPr id="5" name="Conector recto 4">
          <a:extLst>
            <a:ext uri="{FF2B5EF4-FFF2-40B4-BE49-F238E27FC236}">
              <a16:creationId xmlns:a16="http://schemas.microsoft.com/office/drawing/2014/main" id="{E8D0CFEB-AC6C-4632-B065-8DF65C8919F4}"/>
            </a:ext>
          </a:extLst>
        </xdr:cNvPr>
        <xdr:cNvCxnSpPr/>
      </xdr:nvCxnSpPr>
      <xdr:spPr>
        <a:xfrm>
          <a:off x="1238250" y="5972175"/>
          <a:ext cx="155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20</xdr:row>
          <xdr:rowOff>19050</xdr:rowOff>
        </xdr:from>
        <xdr:to>
          <xdr:col>3</xdr:col>
          <xdr:colOff>352425</xdr:colOff>
          <xdr:row>20</xdr:row>
          <xdr:rowOff>523875</xdr:rowOff>
        </xdr:to>
        <xdr:pic>
          <xdr:nvPicPr>
            <xdr:cNvPr id="6" name="Imagen 30">
              <a:extLst>
                <a:ext uri="{FF2B5EF4-FFF2-40B4-BE49-F238E27FC236}">
                  <a16:creationId xmlns:a16="http://schemas.microsoft.com/office/drawing/2014/main" id="{98D6712F-8AF2-427A-B85B-C094F3D025FE}"/>
                </a:ext>
              </a:extLst>
            </xdr:cNvPr>
            <xdr:cNvPicPr>
              <a:picLocks noChangeAspect="1" noChangeArrowheads="1"/>
              <a:extLst>
                <a:ext uri="{84589F7E-364E-4C9E-8A38-B11213B215E9}">
                  <a14:cameraTool cellRange="elaborofirmasL" spid="_x0000_s98158"/>
                </a:ext>
              </a:extLst>
            </xdr:cNvPicPr>
          </xdr:nvPicPr>
          <xdr:blipFill>
            <a:blip xmlns:r="http://schemas.openxmlformats.org/officeDocument/2006/relationships" r:embed="rId2"/>
            <a:srcRect/>
            <a:stretch>
              <a:fillRect/>
            </a:stretch>
          </xdr:blipFill>
          <xdr:spPr bwMode="auto">
            <a:xfrm>
              <a:off x="1133475" y="54197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19050</xdr:rowOff>
        </xdr:from>
        <xdr:to>
          <xdr:col>6</xdr:col>
          <xdr:colOff>352425</xdr:colOff>
          <xdr:row>20</xdr:row>
          <xdr:rowOff>523875</xdr:rowOff>
        </xdr:to>
        <xdr:pic>
          <xdr:nvPicPr>
            <xdr:cNvPr id="7" name="Picture 23">
              <a:extLst>
                <a:ext uri="{FF2B5EF4-FFF2-40B4-BE49-F238E27FC236}">
                  <a16:creationId xmlns:a16="http://schemas.microsoft.com/office/drawing/2014/main" id="{D90A5F8B-F62E-4063-904E-44DF2512A56E}"/>
                </a:ext>
              </a:extLst>
            </xdr:cNvPr>
            <xdr:cNvPicPr>
              <a:picLocks noChangeAspect="1" noChangeArrowheads="1"/>
              <a:extLst>
                <a:ext uri="{84589F7E-364E-4C9E-8A38-B11213B215E9}">
                  <a14:cameraTool cellRange="revisofirmasL" spid="_x0000_s98159"/>
                </a:ext>
              </a:extLst>
            </xdr:cNvPicPr>
          </xdr:nvPicPr>
          <xdr:blipFill>
            <a:blip xmlns:r="http://schemas.openxmlformats.org/officeDocument/2006/relationships" r:embed="rId3"/>
            <a:srcRect/>
            <a:stretch>
              <a:fillRect/>
            </a:stretch>
          </xdr:blipFill>
          <xdr:spPr bwMode="auto">
            <a:xfrm>
              <a:off x="2876550" y="54197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28575</xdr:rowOff>
        </xdr:from>
        <xdr:to>
          <xdr:col>9</xdr:col>
          <xdr:colOff>352425</xdr:colOff>
          <xdr:row>20</xdr:row>
          <xdr:rowOff>533400</xdr:rowOff>
        </xdr:to>
        <xdr:pic>
          <xdr:nvPicPr>
            <xdr:cNvPr id="8" name="Picture 24">
              <a:extLst>
                <a:ext uri="{FF2B5EF4-FFF2-40B4-BE49-F238E27FC236}">
                  <a16:creationId xmlns:a16="http://schemas.microsoft.com/office/drawing/2014/main" id="{C64EF8AE-EC83-46B0-A1EC-6F2D2BCE0C54}"/>
                </a:ext>
              </a:extLst>
            </xdr:cNvPr>
            <xdr:cNvPicPr>
              <a:picLocks noChangeAspect="1" noChangeArrowheads="1"/>
              <a:extLst>
                <a:ext uri="{84589F7E-364E-4C9E-8A38-B11213B215E9}">
                  <a14:cameraTool cellRange="aprobofirmasL" spid="_x0000_s98160"/>
                </a:ext>
              </a:extLst>
            </xdr:cNvPicPr>
          </xdr:nvPicPr>
          <xdr:blipFill>
            <a:blip xmlns:r="http://schemas.openxmlformats.org/officeDocument/2006/relationships" r:embed="rId4"/>
            <a:srcRect/>
            <a:stretch>
              <a:fillRect/>
            </a:stretch>
          </xdr:blipFill>
          <xdr:spPr bwMode="auto">
            <a:xfrm>
              <a:off x="4619625" y="542925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6</xdr:col>
      <xdr:colOff>133350</xdr:colOff>
      <xdr:row>4</xdr:row>
      <xdr:rowOff>114300</xdr:rowOff>
    </xdr:to>
    <xdr:pic>
      <xdr:nvPicPr>
        <xdr:cNvPr id="2" name="Imagen 2">
          <a:extLst>
            <a:ext uri="{FF2B5EF4-FFF2-40B4-BE49-F238E27FC236}">
              <a16:creationId xmlns:a16="http://schemas.microsoft.com/office/drawing/2014/main" id="{B81CC4D8-1CB3-40B4-B50E-49672269BF58}"/>
            </a:ext>
          </a:extLst>
        </xdr:cNvPr>
        <xdr:cNvPicPr>
          <a:picLocks noChangeAspect="1"/>
        </xdr:cNvPicPr>
      </xdr:nvPicPr>
      <xdr:blipFill>
        <a:blip xmlns:r="http://schemas.openxmlformats.org/officeDocument/2006/relationships" r:embed="rId1" cstate="print"/>
        <a:srcRect/>
        <a:stretch>
          <a:fillRect/>
        </a:stretch>
      </xdr:blipFill>
      <xdr:spPr bwMode="auto">
        <a:xfrm>
          <a:off x="57150" y="76200"/>
          <a:ext cx="1162050" cy="771525"/>
        </a:xfrm>
        <a:prstGeom prst="rect">
          <a:avLst/>
        </a:prstGeom>
        <a:noFill/>
        <a:ln w="9525">
          <a:noFill/>
          <a:miter lim="800000"/>
          <a:headEnd/>
          <a:tailEnd/>
        </a:ln>
      </xdr:spPr>
    </xdr:pic>
    <xdr:clientData/>
  </xdr:twoCellAnchor>
  <xdr:twoCellAnchor>
    <xdr:from>
      <xdr:col>16</xdr:col>
      <xdr:colOff>142875</xdr:colOff>
      <xdr:row>44</xdr:row>
      <xdr:rowOff>0</xdr:rowOff>
    </xdr:from>
    <xdr:to>
      <xdr:col>24</xdr:col>
      <xdr:colOff>200025</xdr:colOff>
      <xdr:row>44</xdr:row>
      <xdr:rowOff>1588</xdr:rowOff>
    </xdr:to>
    <xdr:cxnSp macro="">
      <xdr:nvCxnSpPr>
        <xdr:cNvPr id="3" name="2 Conector recto">
          <a:extLst>
            <a:ext uri="{FF2B5EF4-FFF2-40B4-BE49-F238E27FC236}">
              <a16:creationId xmlns:a16="http://schemas.microsoft.com/office/drawing/2014/main" id="{0A7C7612-4821-4BA4-9995-3CAB3A1E26B2}"/>
            </a:ext>
          </a:extLst>
        </xdr:cNvPr>
        <xdr:cNvCxnSpPr/>
      </xdr:nvCxnSpPr>
      <xdr:spPr>
        <a:xfrm>
          <a:off x="3038475" y="7829550"/>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171450</xdr:colOff>
      <xdr:row>44</xdr:row>
      <xdr:rowOff>0</xdr:rowOff>
    </xdr:from>
    <xdr:to>
      <xdr:col>35</xdr:col>
      <xdr:colOff>9525</xdr:colOff>
      <xdr:row>44</xdr:row>
      <xdr:rowOff>1588</xdr:rowOff>
    </xdr:to>
    <xdr:cxnSp macro="">
      <xdr:nvCxnSpPr>
        <xdr:cNvPr id="4" name="3 Conector recto">
          <a:extLst>
            <a:ext uri="{FF2B5EF4-FFF2-40B4-BE49-F238E27FC236}">
              <a16:creationId xmlns:a16="http://schemas.microsoft.com/office/drawing/2014/main" id="{E8A26CEB-E673-42E6-83B1-06AF74166B4C}"/>
            </a:ext>
          </a:extLst>
        </xdr:cNvPr>
        <xdr:cNvCxnSpPr/>
      </xdr:nvCxnSpPr>
      <xdr:spPr>
        <a:xfrm>
          <a:off x="4876800" y="7829550"/>
          <a:ext cx="146685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152400</xdr:colOff>
      <xdr:row>44</xdr:row>
      <xdr:rowOff>0</xdr:rowOff>
    </xdr:from>
    <xdr:to>
      <xdr:col>14</xdr:col>
      <xdr:colOff>209550</xdr:colOff>
      <xdr:row>44</xdr:row>
      <xdr:rowOff>1588</xdr:rowOff>
    </xdr:to>
    <xdr:cxnSp macro="">
      <xdr:nvCxnSpPr>
        <xdr:cNvPr id="5" name="4 Conector recto">
          <a:extLst>
            <a:ext uri="{FF2B5EF4-FFF2-40B4-BE49-F238E27FC236}">
              <a16:creationId xmlns:a16="http://schemas.microsoft.com/office/drawing/2014/main" id="{0BEB166A-DDF4-437C-A94E-B1184EBC55FE}"/>
            </a:ext>
          </a:extLst>
        </xdr:cNvPr>
        <xdr:cNvCxnSpPr/>
      </xdr:nvCxnSpPr>
      <xdr:spPr>
        <a:xfrm>
          <a:off x="1238250" y="7829550"/>
          <a:ext cx="147637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0</xdr:colOff>
          <xdr:row>43</xdr:row>
          <xdr:rowOff>38100</xdr:rowOff>
        </xdr:from>
        <xdr:to>
          <xdr:col>14</xdr:col>
          <xdr:colOff>95250</xdr:colOff>
          <xdr:row>43</xdr:row>
          <xdr:rowOff>457200</xdr:rowOff>
        </xdr:to>
        <xdr:pic>
          <xdr:nvPicPr>
            <xdr:cNvPr id="6" name="Imagen 30">
              <a:extLst>
                <a:ext uri="{FF2B5EF4-FFF2-40B4-BE49-F238E27FC236}">
                  <a16:creationId xmlns:a16="http://schemas.microsoft.com/office/drawing/2014/main" id="{8F3D2921-4129-4CCC-8BD3-E087FB763717}"/>
                </a:ext>
              </a:extLst>
            </xdr:cNvPr>
            <xdr:cNvPicPr>
              <a:picLocks noChangeAspect="1" noChangeArrowheads="1"/>
              <a:extLst>
                <a:ext uri="{84589F7E-364E-4C9E-8A38-B11213B215E9}">
                  <a14:cameraTool cellRange="elaborofirmasI" spid="_x0000_s99225"/>
                </a:ext>
              </a:extLst>
            </xdr:cNvPicPr>
          </xdr:nvPicPr>
          <xdr:blipFill>
            <a:blip xmlns:r="http://schemas.openxmlformats.org/officeDocument/2006/relationships" r:embed="rId2"/>
            <a:srcRect/>
            <a:stretch>
              <a:fillRect/>
            </a:stretch>
          </xdr:blipFill>
          <xdr:spPr bwMode="auto">
            <a:xfrm>
              <a:off x="1085850" y="7362825"/>
              <a:ext cx="1543050" cy="4191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38100</xdr:rowOff>
        </xdr:from>
        <xdr:to>
          <xdr:col>24</xdr:col>
          <xdr:colOff>47625</xdr:colOff>
          <xdr:row>43</xdr:row>
          <xdr:rowOff>438150</xdr:rowOff>
        </xdr:to>
        <xdr:pic>
          <xdr:nvPicPr>
            <xdr:cNvPr id="7" name="Imagen 3">
              <a:extLst>
                <a:ext uri="{FF2B5EF4-FFF2-40B4-BE49-F238E27FC236}">
                  <a16:creationId xmlns:a16="http://schemas.microsoft.com/office/drawing/2014/main" id="{5FA14E95-5DEC-4898-AD04-121F07E6E1F4}"/>
                </a:ext>
              </a:extLst>
            </xdr:cNvPr>
            <xdr:cNvPicPr>
              <a:picLocks noChangeAspect="1" noChangeArrowheads="1"/>
              <a:extLst>
                <a:ext uri="{84589F7E-364E-4C9E-8A38-B11213B215E9}">
                  <a14:cameraTool cellRange="revisofirmasI" spid="_x0000_s99226"/>
                </a:ext>
              </a:extLst>
            </xdr:cNvPicPr>
          </xdr:nvPicPr>
          <xdr:blipFill>
            <a:blip xmlns:r="http://schemas.openxmlformats.org/officeDocument/2006/relationships" r:embed="rId3"/>
            <a:srcRect/>
            <a:stretch>
              <a:fillRect/>
            </a:stretch>
          </xdr:blipFill>
          <xdr:spPr bwMode="auto">
            <a:xfrm>
              <a:off x="2895600" y="7362825"/>
              <a:ext cx="1495425" cy="400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43</xdr:row>
          <xdr:rowOff>28575</xdr:rowOff>
        </xdr:from>
        <xdr:to>
          <xdr:col>34</xdr:col>
          <xdr:colOff>19050</xdr:colOff>
          <xdr:row>43</xdr:row>
          <xdr:rowOff>428625</xdr:rowOff>
        </xdr:to>
        <xdr:pic>
          <xdr:nvPicPr>
            <xdr:cNvPr id="8" name="Imagen 4">
              <a:extLst>
                <a:ext uri="{FF2B5EF4-FFF2-40B4-BE49-F238E27FC236}">
                  <a16:creationId xmlns:a16="http://schemas.microsoft.com/office/drawing/2014/main" id="{0E8D5520-4A99-456F-B9A4-2075621C63F9}"/>
                </a:ext>
              </a:extLst>
            </xdr:cNvPr>
            <xdr:cNvPicPr>
              <a:picLocks noChangeAspect="1" noChangeArrowheads="1"/>
              <a:extLst>
                <a:ext uri="{84589F7E-364E-4C9E-8A38-B11213B215E9}">
                  <a14:cameraTool cellRange="aprobofirmasI" spid="_x0000_s99227"/>
                </a:ext>
              </a:extLst>
            </xdr:cNvPicPr>
          </xdr:nvPicPr>
          <xdr:blipFill>
            <a:blip xmlns:r="http://schemas.openxmlformats.org/officeDocument/2006/relationships" r:embed="rId4"/>
            <a:srcRect/>
            <a:stretch>
              <a:fillRect/>
            </a:stretch>
          </xdr:blipFill>
          <xdr:spPr bwMode="auto">
            <a:xfrm>
              <a:off x="4705350" y="7353300"/>
              <a:ext cx="1466850" cy="4000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105682</xdr:colOff>
      <xdr:row>0</xdr:row>
      <xdr:rowOff>147864</xdr:rowOff>
    </xdr:from>
    <xdr:to>
      <xdr:col>3</xdr:col>
      <xdr:colOff>105682</xdr:colOff>
      <xdr:row>4</xdr:row>
      <xdr:rowOff>105864</xdr:rowOff>
    </xdr:to>
    <xdr:pic>
      <xdr:nvPicPr>
        <xdr:cNvPr id="2" name="Imagen 18">
          <a:extLst>
            <a:ext uri="{FF2B5EF4-FFF2-40B4-BE49-F238E27FC236}">
              <a16:creationId xmlns:a16="http://schemas.microsoft.com/office/drawing/2014/main" id="{F8B308F9-B209-477F-B3C1-5DCCE8504B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82" y="147864"/>
          <a:ext cx="714375" cy="72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142875</xdr:colOff>
          <xdr:row>39</xdr:row>
          <xdr:rowOff>38099</xdr:rowOff>
        </xdr:from>
        <xdr:to>
          <xdr:col>9</xdr:col>
          <xdr:colOff>28575</xdr:colOff>
          <xdr:row>41</xdr:row>
          <xdr:rowOff>161924</xdr:rowOff>
        </xdr:to>
        <xdr:pic>
          <xdr:nvPicPr>
            <xdr:cNvPr id="3" name="Picture 3">
              <a:extLst>
                <a:ext uri="{FF2B5EF4-FFF2-40B4-BE49-F238E27FC236}">
                  <a16:creationId xmlns:a16="http://schemas.microsoft.com/office/drawing/2014/main" id="{96F6153E-09DF-4846-B5FC-09D65875B393}"/>
                </a:ext>
              </a:extLst>
            </xdr:cNvPr>
            <xdr:cNvPicPr>
              <a:picLocks noChangeAspect="1"/>
              <a:extLst>
                <a:ext uri="{84589F7E-364E-4C9E-8A38-B11213B215E9}">
                  <a14:cameraTool cellRange="revisofirmas5" spid="_x0000_s233494"/>
                </a:ext>
              </a:extLst>
            </xdr:cNvPicPr>
          </xdr:nvPicPr>
          <xdr:blipFill rotWithShape="1">
            <a:blip xmlns:r="http://schemas.openxmlformats.org/officeDocument/2006/relationships" r:embed="rId2"/>
            <a:srcRect r="4916" b="11321"/>
            <a:stretch>
              <a:fillRect/>
            </a:stretch>
          </xdr:blipFill>
          <xdr:spPr bwMode="auto">
            <a:xfrm>
              <a:off x="857250" y="7467599"/>
              <a:ext cx="1314450" cy="504825"/>
            </a:xfrm>
            <a:prstGeom prst="rect">
              <a:avLst/>
            </a:prstGeom>
            <a:noFill/>
            <a:ln>
              <a:solidFill>
                <a:schemeClr val="bg1"/>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100679</xdr:colOff>
          <xdr:row>39</xdr:row>
          <xdr:rowOff>104772</xdr:rowOff>
        </xdr:from>
        <xdr:to>
          <xdr:col>21</xdr:col>
          <xdr:colOff>224504</xdr:colOff>
          <xdr:row>41</xdr:row>
          <xdr:rowOff>171449</xdr:rowOff>
        </xdr:to>
        <xdr:pic>
          <xdr:nvPicPr>
            <xdr:cNvPr id="4" name="Picture 4">
              <a:extLst>
                <a:ext uri="{FF2B5EF4-FFF2-40B4-BE49-F238E27FC236}">
                  <a16:creationId xmlns:a16="http://schemas.microsoft.com/office/drawing/2014/main" id="{3B40CE03-89A5-43D4-9AE2-9480BA7C987B}"/>
                </a:ext>
              </a:extLst>
            </xdr:cNvPr>
            <xdr:cNvPicPr>
              <a:picLocks noChangeAspect="1"/>
              <a:extLst>
                <a:ext uri="{84589F7E-364E-4C9E-8A38-B11213B215E9}">
                  <a14:cameraTool cellRange="Aprobofirmas5" spid="_x0000_s233495"/>
                </a:ext>
              </a:extLst>
            </xdr:cNvPicPr>
          </xdr:nvPicPr>
          <xdr:blipFill rotWithShape="1">
            <a:blip xmlns:r="http://schemas.openxmlformats.org/officeDocument/2006/relationships" r:embed="rId3"/>
            <a:srcRect t="4524" r="2796" b="24377"/>
            <a:stretch>
              <a:fillRect/>
            </a:stretch>
          </xdr:blipFill>
          <xdr:spPr bwMode="auto">
            <a:xfrm>
              <a:off x="3910679" y="7534272"/>
              <a:ext cx="1314450" cy="447677"/>
            </a:xfrm>
            <a:prstGeom prst="rect">
              <a:avLst/>
            </a:prstGeom>
            <a:noFill/>
            <a:ln>
              <a:solidFill>
                <a:schemeClr val="bg1"/>
              </a:solidFill>
            </a:ln>
            <a:extLst>
              <a:ext uri="{909E8E84-426E-40DD-AFC4-6F175D3DCCD1}">
                <a14:hiddenFill>
                  <a:solidFill>
                    <a:srgbClr val="FFFFFF"/>
                  </a:solidFill>
                </a14:hiddenFill>
              </a:ext>
            </a:extLst>
          </xdr:spPr>
        </xdr:pic>
        <xdr:clientData/>
      </xdr:twoCellAnchor>
    </mc:Choice>
    <mc:Fallback/>
  </mc:AlternateContent>
  <xdr:twoCellAnchor editAs="oneCell">
    <xdr:from>
      <xdr:col>31</xdr:col>
      <xdr:colOff>85725</xdr:colOff>
      <xdr:row>7</xdr:row>
      <xdr:rowOff>85724</xdr:rowOff>
    </xdr:from>
    <xdr:to>
      <xdr:col>31</xdr:col>
      <xdr:colOff>1257300</xdr:colOff>
      <xdr:row>9</xdr:row>
      <xdr:rowOff>95250</xdr:rowOff>
    </xdr:to>
    <xdr:pic>
      <xdr:nvPicPr>
        <xdr:cNvPr id="5" name="Imagen 4"/>
        <xdr:cNvPicPr>
          <a:picLocks noChangeAspect="1"/>
        </xdr:cNvPicPr>
      </xdr:nvPicPr>
      <xdr:blipFill rotWithShape="1">
        <a:blip xmlns:r="http://schemas.openxmlformats.org/officeDocument/2006/relationships" r:embed="rId4"/>
        <a:srcRect l="4930" t="1" r="4930" b="-2513"/>
        <a:stretch/>
      </xdr:blipFill>
      <xdr:spPr>
        <a:xfrm>
          <a:off x="12639675" y="1419224"/>
          <a:ext cx="1171575" cy="390526"/>
        </a:xfrm>
        <a:prstGeom prst="rect">
          <a:avLst/>
        </a:prstGeom>
      </xdr:spPr>
    </xdr:pic>
    <xdr:clientData/>
  </xdr:twoCellAnchor>
  <xdr:twoCellAnchor editAs="oneCell">
    <xdr:from>
      <xdr:col>31</xdr:col>
      <xdr:colOff>95250</xdr:colOff>
      <xdr:row>22</xdr:row>
      <xdr:rowOff>47625</xdr:rowOff>
    </xdr:from>
    <xdr:to>
      <xdr:col>31</xdr:col>
      <xdr:colOff>1257300</xdr:colOff>
      <xdr:row>24</xdr:row>
      <xdr:rowOff>57150</xdr:rowOff>
    </xdr:to>
    <xdr:pic>
      <xdr:nvPicPr>
        <xdr:cNvPr id="6" name="Imagen 5">
          <a:extLst>
            <a:ext uri="{FF2B5EF4-FFF2-40B4-BE49-F238E27FC236}">
              <a16:creationId xmlns:a16="http://schemas.microsoft.com/office/drawing/2014/main" id="{9003FD31-1D1D-46E3-A953-F144E6434BA2}"/>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649200" y="3667125"/>
          <a:ext cx="116205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31</xdr:col>
      <xdr:colOff>66675</xdr:colOff>
      <xdr:row>13</xdr:row>
      <xdr:rowOff>133350</xdr:rowOff>
    </xdr:from>
    <xdr:ext cx="1190626" cy="342900"/>
    <xdr:pic>
      <xdr:nvPicPr>
        <xdr:cNvPr id="7" name="Imagen 6"/>
        <xdr:cNvPicPr>
          <a:picLocks noChangeAspect="1"/>
        </xdr:cNvPicPr>
      </xdr:nvPicPr>
      <xdr:blipFill rotWithShape="1">
        <a:blip xmlns:r="http://schemas.openxmlformats.org/officeDocument/2006/relationships" r:embed="rId6"/>
        <a:srcRect b="18172"/>
        <a:stretch/>
      </xdr:blipFill>
      <xdr:spPr>
        <a:xfrm>
          <a:off x="12620625" y="2038350"/>
          <a:ext cx="1190626" cy="342900"/>
        </a:xfrm>
        <a:prstGeom prst="rect">
          <a:avLst/>
        </a:prstGeom>
      </xdr:spPr>
    </xdr:pic>
    <xdr:clientData/>
  </xdr:oneCellAnchor>
  <xdr:twoCellAnchor editAs="oneCell">
    <xdr:from>
      <xdr:col>31</xdr:col>
      <xdr:colOff>228601</xdr:colOff>
      <xdr:row>16</xdr:row>
      <xdr:rowOff>66675</xdr:rowOff>
    </xdr:from>
    <xdr:to>
      <xdr:col>31</xdr:col>
      <xdr:colOff>1200151</xdr:colOff>
      <xdr:row>18</xdr:row>
      <xdr:rowOff>62245</xdr:rowOff>
    </xdr:to>
    <xdr:pic>
      <xdr:nvPicPr>
        <xdr:cNvPr id="8" name="Picture 2">
          <a:extLst>
            <a:ext uri="{FF2B5EF4-FFF2-40B4-BE49-F238E27FC236}">
              <a16:creationId xmlns:a16="http://schemas.microsoft.com/office/drawing/2014/main" id="{5F248C92-AB40-41EA-BFC8-BFE1CA64D731}"/>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2782551" y="2543175"/>
          <a:ext cx="971550" cy="376570"/>
        </a:xfrm>
        <a:prstGeom prst="rect">
          <a:avLst/>
        </a:prstGeom>
        <a:noFill/>
      </xdr:spPr>
    </xdr:pic>
    <xdr:clientData/>
  </xdr:twoCellAnchor>
  <xdr:oneCellAnchor>
    <xdr:from>
      <xdr:col>31</xdr:col>
      <xdr:colOff>85725</xdr:colOff>
      <xdr:row>25</xdr:row>
      <xdr:rowOff>104775</xdr:rowOff>
    </xdr:from>
    <xdr:ext cx="1162050" cy="394174"/>
    <xdr:pic>
      <xdr:nvPicPr>
        <xdr:cNvPr id="9" name="Imagen 8">
          <a:extLst>
            <a:ext uri="{FF2B5EF4-FFF2-40B4-BE49-F238E27FC236}">
              <a16:creationId xmlns:a16="http://schemas.microsoft.com/office/drawing/2014/main" id="{8A883A2C-536E-4314-BCC3-A84DFD1D41E3}"/>
            </a:ext>
          </a:extLst>
        </xdr:cNvPr>
        <xdr:cNvPicPr>
          <a:picLocks noChangeAspect="1"/>
        </xdr:cNvPicPr>
      </xdr:nvPicPr>
      <xdr:blipFill>
        <a:blip xmlns:r="http://schemas.openxmlformats.org/officeDocument/2006/relationships" r:embed="rId8"/>
        <a:stretch>
          <a:fillRect/>
        </a:stretch>
      </xdr:blipFill>
      <xdr:spPr>
        <a:xfrm>
          <a:off x="12639675" y="4295775"/>
          <a:ext cx="1162050" cy="394174"/>
        </a:xfrm>
        <a:prstGeom prst="rect">
          <a:avLst/>
        </a:prstGeom>
      </xdr:spPr>
    </xdr:pic>
    <xdr:clientData/>
  </xdr:oneCellAnchor>
  <xdr:oneCellAnchor>
    <xdr:from>
      <xdr:col>31</xdr:col>
      <xdr:colOff>228601</xdr:colOff>
      <xdr:row>28</xdr:row>
      <xdr:rowOff>66675</xdr:rowOff>
    </xdr:from>
    <xdr:ext cx="971550" cy="376570"/>
    <xdr:pic>
      <xdr:nvPicPr>
        <xdr:cNvPr id="10" name="Picture 2">
          <a:extLst>
            <a:ext uri="{FF2B5EF4-FFF2-40B4-BE49-F238E27FC236}">
              <a16:creationId xmlns:a16="http://schemas.microsoft.com/office/drawing/2014/main" id="{5F248C92-AB40-41EA-BFC8-BFE1CA64D731}"/>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2782551" y="4829175"/>
          <a:ext cx="971550" cy="376570"/>
        </a:xfrm>
        <a:prstGeom prst="rect">
          <a:avLst/>
        </a:prstGeom>
        <a:noFill/>
      </xdr:spPr>
    </xdr:pic>
    <xdr:clientData/>
  </xdr:oneCellAnchor>
  <xdr:twoCellAnchor editAs="oneCell">
    <xdr:from>
      <xdr:col>31</xdr:col>
      <xdr:colOff>200026</xdr:colOff>
      <xdr:row>10</xdr:row>
      <xdr:rowOff>47625</xdr:rowOff>
    </xdr:from>
    <xdr:to>
      <xdr:col>31</xdr:col>
      <xdr:colOff>1114426</xdr:colOff>
      <xdr:row>12</xdr:row>
      <xdr:rowOff>95251</xdr:rowOff>
    </xdr:to>
    <xdr:pic>
      <xdr:nvPicPr>
        <xdr:cNvPr id="11" name="Imagen 10"/>
        <xdr:cNvPicPr>
          <a:picLocks noChangeAspect="1"/>
        </xdr:cNvPicPr>
      </xdr:nvPicPr>
      <xdr:blipFill rotWithShape="1">
        <a:blip xmlns:r="http://schemas.openxmlformats.org/officeDocument/2006/relationships" r:embed="rId9"/>
        <a:srcRect t="8574" b="14262"/>
        <a:stretch/>
      </xdr:blipFill>
      <xdr:spPr>
        <a:xfrm>
          <a:off x="12753976" y="1952625"/>
          <a:ext cx="914400" cy="4286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104776</xdr:colOff>
      <xdr:row>0</xdr:row>
      <xdr:rowOff>171450</xdr:rowOff>
    </xdr:from>
    <xdr:to>
      <xdr:col>5</xdr:col>
      <xdr:colOff>100875</xdr:colOff>
      <xdr:row>4</xdr:row>
      <xdr:rowOff>72300</xdr:rowOff>
    </xdr:to>
    <xdr:pic>
      <xdr:nvPicPr>
        <xdr:cNvPr id="2" name="Imagen 5">
          <a:extLst>
            <a:ext uri="{FF2B5EF4-FFF2-40B4-BE49-F238E27FC236}">
              <a16:creationId xmlns:a16="http://schemas.microsoft.com/office/drawing/2014/main" id="{0609D877-BA28-46D9-9A1E-2CB8D4961909}"/>
            </a:ext>
          </a:extLst>
        </xdr:cNvPr>
        <xdr:cNvPicPr>
          <a:picLocks noChangeAspect="1"/>
        </xdr:cNvPicPr>
      </xdr:nvPicPr>
      <xdr:blipFill>
        <a:blip xmlns:r="http://schemas.openxmlformats.org/officeDocument/2006/relationships" r:embed="rId1" cstate="print"/>
        <a:srcRect/>
        <a:stretch>
          <a:fillRect/>
        </a:stretch>
      </xdr:blipFill>
      <xdr:spPr bwMode="auto">
        <a:xfrm>
          <a:off x="295276" y="171450"/>
          <a:ext cx="719999" cy="720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516047</xdr:colOff>
      <xdr:row>35</xdr:row>
      <xdr:rowOff>152128</xdr:rowOff>
    </xdr:from>
    <xdr:to>
      <xdr:col>13</xdr:col>
      <xdr:colOff>0</xdr:colOff>
      <xdr:row>35</xdr:row>
      <xdr:rowOff>152128</xdr:rowOff>
    </xdr:to>
    <xdr:cxnSp macro="">
      <xdr:nvCxnSpPr>
        <xdr:cNvPr id="2" name="Conector recto 10">
          <a:extLst>
            <a:ext uri="{FF2B5EF4-FFF2-40B4-BE49-F238E27FC236}">
              <a16:creationId xmlns:a16="http://schemas.microsoft.com/office/drawing/2014/main" id="{DCB69789-C335-46A9-8921-957B0E273BED}"/>
            </a:ext>
          </a:extLst>
        </xdr:cNvPr>
        <xdr:cNvCxnSpPr/>
      </xdr:nvCxnSpPr>
      <xdr:spPr>
        <a:xfrm>
          <a:off x="7231172" y="8486503"/>
          <a:ext cx="9355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123825</xdr:colOff>
      <xdr:row>30</xdr:row>
      <xdr:rowOff>0</xdr:rowOff>
    </xdr:from>
    <xdr:to>
      <xdr:col>5</xdr:col>
      <xdr:colOff>351093</xdr:colOff>
      <xdr:row>30</xdr:row>
      <xdr:rowOff>0</xdr:rowOff>
    </xdr:to>
    <xdr:cxnSp macro="">
      <xdr:nvCxnSpPr>
        <xdr:cNvPr id="3" name="Conector recto 13">
          <a:extLst>
            <a:ext uri="{FF2B5EF4-FFF2-40B4-BE49-F238E27FC236}">
              <a16:creationId xmlns:a16="http://schemas.microsoft.com/office/drawing/2014/main" id="{58617EF4-4C64-4C69-A12E-0F996EA24B61}"/>
            </a:ext>
          </a:extLst>
        </xdr:cNvPr>
        <xdr:cNvCxnSpPr/>
      </xdr:nvCxnSpPr>
      <xdr:spPr>
        <a:xfrm>
          <a:off x="1866900" y="7105650"/>
          <a:ext cx="13321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30</xdr:row>
      <xdr:rowOff>0</xdr:rowOff>
    </xdr:from>
    <xdr:to>
      <xdr:col>8</xdr:col>
      <xdr:colOff>636843</xdr:colOff>
      <xdr:row>30</xdr:row>
      <xdr:rowOff>0</xdr:rowOff>
    </xdr:to>
    <xdr:cxnSp macro="">
      <xdr:nvCxnSpPr>
        <xdr:cNvPr id="4" name="Conector recto 13">
          <a:extLst>
            <a:ext uri="{FF2B5EF4-FFF2-40B4-BE49-F238E27FC236}">
              <a16:creationId xmlns:a16="http://schemas.microsoft.com/office/drawing/2014/main" id="{0591C4BE-C4B6-4FDB-9451-DDF9B43C07C1}"/>
            </a:ext>
          </a:extLst>
        </xdr:cNvPr>
        <xdr:cNvCxnSpPr/>
      </xdr:nvCxnSpPr>
      <xdr:spPr>
        <a:xfrm>
          <a:off x="3514725" y="7105650"/>
          <a:ext cx="15417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30</xdr:row>
      <xdr:rowOff>0</xdr:rowOff>
    </xdr:from>
    <xdr:to>
      <xdr:col>12</xdr:col>
      <xdr:colOff>0</xdr:colOff>
      <xdr:row>30</xdr:row>
      <xdr:rowOff>0</xdr:rowOff>
    </xdr:to>
    <xdr:cxnSp macro="">
      <xdr:nvCxnSpPr>
        <xdr:cNvPr id="5" name="Conector recto 13">
          <a:extLst>
            <a:ext uri="{FF2B5EF4-FFF2-40B4-BE49-F238E27FC236}">
              <a16:creationId xmlns:a16="http://schemas.microsoft.com/office/drawing/2014/main" id="{74425A83-2F3F-4B69-A514-DF1C1E89BEE9}"/>
            </a:ext>
          </a:extLst>
        </xdr:cNvPr>
        <xdr:cNvCxnSpPr/>
      </xdr:nvCxnSpPr>
      <xdr:spPr>
        <a:xfrm>
          <a:off x="5238750" y="7105650"/>
          <a:ext cx="147637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53915</xdr:colOff>
      <xdr:row>0</xdr:row>
      <xdr:rowOff>80874</xdr:rowOff>
    </xdr:from>
    <xdr:to>
      <xdr:col>1</xdr:col>
      <xdr:colOff>961148</xdr:colOff>
      <xdr:row>4</xdr:row>
      <xdr:rowOff>98844</xdr:rowOff>
    </xdr:to>
    <xdr:pic>
      <xdr:nvPicPr>
        <xdr:cNvPr id="7" name="Imagen 18">
          <a:extLst>
            <a:ext uri="{FF2B5EF4-FFF2-40B4-BE49-F238E27FC236}">
              <a16:creationId xmlns:a16="http://schemas.microsoft.com/office/drawing/2014/main" id="{C812DC1B-70F0-47B1-9868-EF55565C9C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15" y="80874"/>
          <a:ext cx="1088208" cy="75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295275</xdr:colOff>
      <xdr:row>15</xdr:row>
      <xdr:rowOff>38100</xdr:rowOff>
    </xdr:from>
    <xdr:to>
      <xdr:col>8</xdr:col>
      <xdr:colOff>295275</xdr:colOff>
      <xdr:row>22</xdr:row>
      <xdr:rowOff>133350</xdr:rowOff>
    </xdr:to>
    <xdr:pic>
      <xdr:nvPicPr>
        <xdr:cNvPr id="10" name="Imagen 9">
          <a:extLst>
            <a:ext uri="{FF2B5EF4-FFF2-40B4-BE49-F238E27FC236}">
              <a16:creationId xmlns:a16="http://schemas.microsoft.com/office/drawing/2014/main" id="{7AA3FBEB-7385-41ED-AF61-56FCD1303E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8350" y="3390900"/>
          <a:ext cx="2762250"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0</xdr:colOff>
          <xdr:row>29</xdr:row>
          <xdr:rowOff>76200</xdr:rowOff>
        </xdr:from>
        <xdr:to>
          <xdr:col>11</xdr:col>
          <xdr:colOff>361950</xdr:colOff>
          <xdr:row>29</xdr:row>
          <xdr:rowOff>533400</xdr:rowOff>
        </xdr:to>
        <xdr:pic>
          <xdr:nvPicPr>
            <xdr:cNvPr id="13" name="Imagen 5">
              <a:extLst>
                <a:ext uri="{FF2B5EF4-FFF2-40B4-BE49-F238E27FC236}">
                  <a16:creationId xmlns:a16="http://schemas.microsoft.com/office/drawing/2014/main" id="{198EBAA8-433A-4BCA-974F-47FECCE3F471}"/>
                </a:ext>
              </a:extLst>
            </xdr:cNvPr>
            <xdr:cNvPicPr>
              <a:picLocks noChangeAspect="1" noChangeArrowheads="1"/>
              <a:extLst>
                <a:ext uri="{84589F7E-364E-4C9E-8A38-B11213B215E9}">
                  <a14:cameraTool cellRange="aprobofirmasMO" spid="_x0000_s101234"/>
                </a:ext>
              </a:extLst>
            </xdr:cNvPicPr>
          </xdr:nvPicPr>
          <xdr:blipFill>
            <a:blip xmlns:r="http://schemas.openxmlformats.org/officeDocument/2006/relationships" r:embed="rId3"/>
            <a:srcRect/>
            <a:stretch>
              <a:fillRect/>
            </a:stretch>
          </xdr:blipFill>
          <xdr:spPr bwMode="auto">
            <a:xfrm>
              <a:off x="5057775" y="661987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19050</xdr:rowOff>
        </xdr:from>
        <xdr:to>
          <xdr:col>8</xdr:col>
          <xdr:colOff>361950</xdr:colOff>
          <xdr:row>29</xdr:row>
          <xdr:rowOff>476250</xdr:rowOff>
        </xdr:to>
        <xdr:pic>
          <xdr:nvPicPr>
            <xdr:cNvPr id="14" name="Imagen 5">
              <a:extLst>
                <a:ext uri="{FF2B5EF4-FFF2-40B4-BE49-F238E27FC236}">
                  <a16:creationId xmlns:a16="http://schemas.microsoft.com/office/drawing/2014/main" id="{CC43842A-04E0-4BF7-AB91-9FC9F3F07469}"/>
                </a:ext>
              </a:extLst>
            </xdr:cNvPr>
            <xdr:cNvPicPr>
              <a:picLocks noChangeAspect="1" noChangeArrowheads="1"/>
              <a:extLst>
                <a:ext uri="{84589F7E-364E-4C9E-8A38-B11213B215E9}">
                  <a14:cameraTool cellRange="revisofirmasMO" spid="_x0000_s101235"/>
                </a:ext>
              </a:extLst>
            </xdr:cNvPicPr>
          </xdr:nvPicPr>
          <xdr:blipFill>
            <a:blip xmlns:r="http://schemas.openxmlformats.org/officeDocument/2006/relationships" r:embed="rId4"/>
            <a:srcRect/>
            <a:stretch>
              <a:fillRect/>
            </a:stretch>
          </xdr:blipFill>
          <xdr:spPr bwMode="auto">
            <a:xfrm>
              <a:off x="3400425" y="656272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38100</xdr:rowOff>
        </xdr:from>
        <xdr:to>
          <xdr:col>5</xdr:col>
          <xdr:colOff>361950</xdr:colOff>
          <xdr:row>29</xdr:row>
          <xdr:rowOff>495300</xdr:rowOff>
        </xdr:to>
        <xdr:pic>
          <xdr:nvPicPr>
            <xdr:cNvPr id="16" name="Imagen 5">
              <a:extLst>
                <a:ext uri="{FF2B5EF4-FFF2-40B4-BE49-F238E27FC236}">
                  <a16:creationId xmlns:a16="http://schemas.microsoft.com/office/drawing/2014/main" id="{9A1596D8-0418-47AC-BBB5-31CC9E676778}"/>
                </a:ext>
              </a:extLst>
            </xdr:cNvPr>
            <xdr:cNvPicPr>
              <a:picLocks noChangeAspect="1" noChangeArrowheads="1"/>
              <a:extLst>
                <a:ext uri="{84589F7E-364E-4C9E-8A38-B11213B215E9}">
                  <a14:cameraTool cellRange="elaborofirmasMO" spid="_x0000_s101236"/>
                </a:ext>
              </a:extLst>
            </xdr:cNvPicPr>
          </xdr:nvPicPr>
          <xdr:blipFill>
            <a:blip xmlns:r="http://schemas.openxmlformats.org/officeDocument/2006/relationships" r:embed="rId5"/>
            <a:srcRect/>
            <a:stretch>
              <a:fillRect/>
            </a:stretch>
          </xdr:blipFill>
          <xdr:spPr bwMode="auto">
            <a:xfrm>
              <a:off x="1743075" y="658177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38</xdr:col>
      <xdr:colOff>134217</xdr:colOff>
      <xdr:row>5</xdr:row>
      <xdr:rowOff>10391</xdr:rowOff>
    </xdr:from>
    <xdr:to>
      <xdr:col>53</xdr:col>
      <xdr:colOff>171450</xdr:colOff>
      <xdr:row>17</xdr:row>
      <xdr:rowOff>35503</xdr:rowOff>
    </xdr:to>
    <xdr:pic>
      <xdr:nvPicPr>
        <xdr:cNvPr id="2" name="Picture 6">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211292" y="1029566"/>
          <a:ext cx="2751858" cy="2234912"/>
        </a:xfrm>
        <a:prstGeom prst="rect">
          <a:avLst/>
        </a:prstGeom>
        <a:noFill/>
        <a:ln w="9525">
          <a:noFill/>
          <a:miter lim="800000"/>
          <a:headEnd/>
          <a:tailEnd/>
        </a:ln>
      </xdr:spPr>
    </xdr:pic>
    <xdr:clientData/>
  </xdr:twoCellAnchor>
  <xdr:twoCellAnchor editAs="oneCell">
    <xdr:from>
      <xdr:col>0</xdr:col>
      <xdr:colOff>76202</xdr:colOff>
      <xdr:row>0</xdr:row>
      <xdr:rowOff>57150</xdr:rowOff>
    </xdr:from>
    <xdr:to>
      <xdr:col>5</xdr:col>
      <xdr:colOff>142876</xdr:colOff>
      <xdr:row>4</xdr:row>
      <xdr:rowOff>114300</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6202" y="57150"/>
          <a:ext cx="1133474" cy="857250"/>
        </a:xfrm>
        <a:prstGeom prst="rect">
          <a:avLst/>
        </a:prstGeom>
        <a:noFill/>
        <a:ln w="9525">
          <a:noFill/>
          <a:miter lim="800000"/>
          <a:headEnd/>
          <a:tailEnd/>
        </a:ln>
      </xdr:spPr>
    </xdr:pic>
    <xdr:clientData/>
  </xdr:twoCellAnchor>
  <xdr:twoCellAnchor>
    <xdr:from>
      <xdr:col>39</xdr:col>
      <xdr:colOff>0</xdr:colOff>
      <xdr:row>18</xdr:row>
      <xdr:rowOff>180975</xdr:rowOff>
    </xdr:from>
    <xdr:to>
      <xdr:col>46</xdr:col>
      <xdr:colOff>142875</xdr:colOff>
      <xdr:row>18</xdr:row>
      <xdr:rowOff>180975</xdr:rowOff>
    </xdr:to>
    <xdr:cxnSp macro="">
      <xdr:nvCxnSpPr>
        <xdr:cNvPr id="18" name="Conector recto 17">
          <a:extLst>
            <a:ext uri="{FF2B5EF4-FFF2-40B4-BE49-F238E27FC236}">
              <a16:creationId xmlns:a16="http://schemas.microsoft.com/office/drawing/2014/main" id="{00000000-0008-0000-0900-000012000000}"/>
            </a:ext>
          </a:extLst>
        </xdr:cNvPr>
        <xdr:cNvCxnSpPr/>
      </xdr:nvCxnSpPr>
      <xdr:spPr>
        <a:xfrm>
          <a:off x="7229475" y="3600450"/>
          <a:ext cx="14097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95250</xdr:colOff>
      <xdr:row>36</xdr:row>
      <xdr:rowOff>38100</xdr:rowOff>
    </xdr:from>
    <xdr:to>
      <xdr:col>46</xdr:col>
      <xdr:colOff>150200</xdr:colOff>
      <xdr:row>36</xdr:row>
      <xdr:rowOff>39564</xdr:rowOff>
    </xdr:to>
    <xdr:cxnSp macro="">
      <xdr:nvCxnSpPr>
        <xdr:cNvPr id="21" name="Conector recto 20">
          <a:extLst>
            <a:ext uri="{FF2B5EF4-FFF2-40B4-BE49-F238E27FC236}">
              <a16:creationId xmlns:a16="http://schemas.microsoft.com/office/drawing/2014/main" id="{00000000-0008-0000-0900-000015000000}"/>
            </a:ext>
          </a:extLst>
        </xdr:cNvPr>
        <xdr:cNvCxnSpPr/>
      </xdr:nvCxnSpPr>
      <xdr:spPr>
        <a:xfrm flipV="1">
          <a:off x="6943725" y="6724650"/>
          <a:ext cx="1683725" cy="14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xdr:colOff>
      <xdr:row>42</xdr:row>
      <xdr:rowOff>0</xdr:rowOff>
    </xdr:from>
    <xdr:to>
      <xdr:col>10</xdr:col>
      <xdr:colOff>84393</xdr:colOff>
      <xdr:row>42</xdr:row>
      <xdr:rowOff>0</xdr:rowOff>
    </xdr:to>
    <xdr:cxnSp macro="">
      <xdr:nvCxnSpPr>
        <xdr:cNvPr id="22" name="Conector recto 13">
          <a:extLst>
            <a:ext uri="{FF2B5EF4-FFF2-40B4-BE49-F238E27FC236}">
              <a16:creationId xmlns:a16="http://schemas.microsoft.com/office/drawing/2014/main" id="{00000000-0008-0000-0900-000016000000}"/>
            </a:ext>
          </a:extLst>
        </xdr:cNvPr>
        <xdr:cNvCxnSpPr/>
      </xdr:nvCxnSpPr>
      <xdr:spPr>
        <a:xfrm>
          <a:off x="147637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42</xdr:row>
      <xdr:rowOff>0</xdr:rowOff>
    </xdr:from>
    <xdr:to>
      <xdr:col>22</xdr:col>
      <xdr:colOff>103443</xdr:colOff>
      <xdr:row>42</xdr:row>
      <xdr:rowOff>0</xdr:rowOff>
    </xdr:to>
    <xdr:cxnSp macro="">
      <xdr:nvCxnSpPr>
        <xdr:cNvPr id="23" name="Conector recto 13">
          <a:extLst>
            <a:ext uri="{FF2B5EF4-FFF2-40B4-BE49-F238E27FC236}">
              <a16:creationId xmlns:a16="http://schemas.microsoft.com/office/drawing/2014/main" id="{00000000-0008-0000-0900-000017000000}"/>
            </a:ext>
          </a:extLst>
        </xdr:cNvPr>
        <xdr:cNvCxnSpPr/>
      </xdr:nvCxnSpPr>
      <xdr:spPr>
        <a:xfrm>
          <a:off x="324802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123825</xdr:colOff>
      <xdr:row>42</xdr:row>
      <xdr:rowOff>0</xdr:rowOff>
    </xdr:from>
    <xdr:to>
      <xdr:col>33</xdr:col>
      <xdr:colOff>112968</xdr:colOff>
      <xdr:row>42</xdr:row>
      <xdr:rowOff>0</xdr:rowOff>
    </xdr:to>
    <xdr:cxnSp macro="">
      <xdr:nvCxnSpPr>
        <xdr:cNvPr id="24" name="Conector recto 13">
          <a:extLst>
            <a:ext uri="{FF2B5EF4-FFF2-40B4-BE49-F238E27FC236}">
              <a16:creationId xmlns:a16="http://schemas.microsoft.com/office/drawing/2014/main" id="{00000000-0008-0000-0900-000018000000}"/>
            </a:ext>
          </a:extLst>
        </xdr:cNvPr>
        <xdr:cNvCxnSpPr/>
      </xdr:nvCxnSpPr>
      <xdr:spPr>
        <a:xfrm>
          <a:off x="494347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28575</xdr:colOff>
          <xdr:row>41</xdr:row>
          <xdr:rowOff>9525</xdr:rowOff>
        </xdr:from>
        <xdr:to>
          <xdr:col>23</xdr:col>
          <xdr:colOff>171450</xdr:colOff>
          <xdr:row>41</xdr:row>
          <xdr:rowOff>457200</xdr:rowOff>
        </xdr:to>
        <xdr:pic>
          <xdr:nvPicPr>
            <xdr:cNvPr id="8218" name="Picture 26">
              <a:extLst>
                <a:ext uri="{FF2B5EF4-FFF2-40B4-BE49-F238E27FC236}">
                  <a16:creationId xmlns:a16="http://schemas.microsoft.com/office/drawing/2014/main" id="{00000000-0008-0000-0900-00001A200000}"/>
                </a:ext>
              </a:extLst>
            </xdr:cNvPr>
            <xdr:cNvPicPr>
              <a:picLocks noChangeAspect="1"/>
              <a:extLst>
                <a:ext uri="{84589F7E-364E-4C9E-8A38-B11213B215E9}">
                  <a14:cameraTool cellRange="revisofirmas10" spid="_x0000_s176199"/>
                </a:ext>
              </a:extLst>
            </xdr:cNvPicPr>
          </xdr:nvPicPr>
          <xdr:blipFill>
            <a:blip xmlns:r="http://schemas.openxmlformats.org/officeDocument/2006/relationships" r:embed="rId3"/>
            <a:srcRect/>
            <a:stretch>
              <a:fillRect/>
            </a:stretch>
          </xdr:blipFill>
          <xdr:spPr bwMode="auto">
            <a:xfrm>
              <a:off x="3114675" y="8181975"/>
              <a:ext cx="1733550" cy="4476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19050</xdr:rowOff>
        </xdr:from>
        <xdr:to>
          <xdr:col>34</xdr:col>
          <xdr:colOff>76200</xdr:colOff>
          <xdr:row>41</xdr:row>
          <xdr:rowOff>466725</xdr:rowOff>
        </xdr:to>
        <xdr:pic>
          <xdr:nvPicPr>
            <xdr:cNvPr id="8219" name="Picture 27">
              <a:extLst>
                <a:ext uri="{FF2B5EF4-FFF2-40B4-BE49-F238E27FC236}">
                  <a16:creationId xmlns:a16="http://schemas.microsoft.com/office/drawing/2014/main" id="{00000000-0008-0000-0900-00001B200000}"/>
                </a:ext>
              </a:extLst>
            </xdr:cNvPr>
            <xdr:cNvPicPr>
              <a:picLocks noChangeAspect="1"/>
              <a:extLst>
                <a:ext uri="{84589F7E-364E-4C9E-8A38-B11213B215E9}">
                  <a14:cameraTool cellRange="aprobofirmas10" spid="_x0000_s176200"/>
                </a:ext>
              </a:extLst>
            </xdr:cNvPicPr>
          </xdr:nvPicPr>
          <xdr:blipFill>
            <a:blip xmlns:r="http://schemas.openxmlformats.org/officeDocument/2006/relationships" r:embed="rId4"/>
            <a:srcRect/>
            <a:stretch>
              <a:fillRect/>
            </a:stretch>
          </xdr:blipFill>
          <xdr:spPr bwMode="auto">
            <a:xfrm>
              <a:off x="4905375" y="8191500"/>
              <a:ext cx="1609725" cy="4476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41</xdr:row>
          <xdr:rowOff>19050</xdr:rowOff>
        </xdr:from>
        <xdr:to>
          <xdr:col>12</xdr:col>
          <xdr:colOff>9525</xdr:colOff>
          <xdr:row>42</xdr:row>
          <xdr:rowOff>0</xdr:rowOff>
        </xdr:to>
        <xdr:pic>
          <xdr:nvPicPr>
            <xdr:cNvPr id="8220" name="Picture 28">
              <a:extLst>
                <a:ext uri="{FF2B5EF4-FFF2-40B4-BE49-F238E27FC236}">
                  <a16:creationId xmlns:a16="http://schemas.microsoft.com/office/drawing/2014/main" id="{00000000-0008-0000-0900-00001C200000}"/>
                </a:ext>
              </a:extLst>
            </xdr:cNvPr>
            <xdr:cNvPicPr>
              <a:picLocks noChangeAspect="1"/>
              <a:extLst>
                <a:ext uri="{84589F7E-364E-4C9E-8A38-B11213B215E9}">
                  <a14:cameraTool cellRange="elaborofirmas10" spid="_x0000_s176201"/>
                </a:ext>
              </a:extLst>
            </xdr:cNvPicPr>
          </xdr:nvPicPr>
          <xdr:blipFill>
            <a:blip xmlns:r="http://schemas.openxmlformats.org/officeDocument/2006/relationships" r:embed="rId5"/>
            <a:srcRect/>
            <a:stretch>
              <a:fillRect/>
            </a:stretch>
          </xdr:blipFill>
          <xdr:spPr bwMode="auto">
            <a:xfrm>
              <a:off x="1304925" y="8191500"/>
              <a:ext cx="1762125" cy="45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114299</xdr:colOff>
      <xdr:row>0</xdr:row>
      <xdr:rowOff>38101</xdr:rowOff>
    </xdr:from>
    <xdr:to>
      <xdr:col>9</xdr:col>
      <xdr:colOff>73171</xdr:colOff>
      <xdr:row>4</xdr:row>
      <xdr:rowOff>161925</xdr:rowOff>
    </xdr:to>
    <xdr:pic>
      <xdr:nvPicPr>
        <xdr:cNvPr id="18" name="Imagen 2">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114299" y="38101"/>
          <a:ext cx="1159022" cy="885824"/>
        </a:xfrm>
        <a:prstGeom prst="rect">
          <a:avLst/>
        </a:prstGeom>
        <a:noFill/>
        <a:ln w="9525">
          <a:noFill/>
          <a:miter lim="800000"/>
          <a:headEnd/>
          <a:tailEnd/>
        </a:ln>
      </xdr:spPr>
    </xdr:pic>
    <xdr:clientData/>
  </xdr:twoCellAnchor>
  <xdr:twoCellAnchor>
    <xdr:from>
      <xdr:col>11</xdr:col>
      <xdr:colOff>114300</xdr:colOff>
      <xdr:row>28</xdr:row>
      <xdr:rowOff>0</xdr:rowOff>
    </xdr:from>
    <xdr:to>
      <xdr:col>21</xdr:col>
      <xdr:colOff>36768</xdr:colOff>
      <xdr:row>28</xdr:row>
      <xdr:rowOff>0</xdr:rowOff>
    </xdr:to>
    <xdr:cxnSp macro="">
      <xdr:nvCxnSpPr>
        <xdr:cNvPr id="7" name="Conector recto 13">
          <a:extLst>
            <a:ext uri="{FF2B5EF4-FFF2-40B4-BE49-F238E27FC236}">
              <a16:creationId xmlns:a16="http://schemas.microsoft.com/office/drawing/2014/main" id="{00000000-0008-0000-0A00-000007000000}"/>
            </a:ext>
          </a:extLst>
        </xdr:cNvPr>
        <xdr:cNvCxnSpPr/>
      </xdr:nvCxnSpPr>
      <xdr:spPr>
        <a:xfrm>
          <a:off x="1581150"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114300</xdr:colOff>
      <xdr:row>28</xdr:row>
      <xdr:rowOff>0</xdr:rowOff>
    </xdr:from>
    <xdr:to>
      <xdr:col>34</xdr:col>
      <xdr:colOff>8193</xdr:colOff>
      <xdr:row>28</xdr:row>
      <xdr:rowOff>0</xdr:rowOff>
    </xdr:to>
    <xdr:cxnSp macro="">
      <xdr:nvCxnSpPr>
        <xdr:cNvPr id="8" name="Conector recto 13">
          <a:extLst>
            <a:ext uri="{FF2B5EF4-FFF2-40B4-BE49-F238E27FC236}">
              <a16:creationId xmlns:a16="http://schemas.microsoft.com/office/drawing/2014/main" id="{00000000-0008-0000-0A00-000008000000}"/>
            </a:ext>
          </a:extLst>
        </xdr:cNvPr>
        <xdr:cNvCxnSpPr/>
      </xdr:nvCxnSpPr>
      <xdr:spPr>
        <a:xfrm>
          <a:off x="3238500"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104775</xdr:colOff>
      <xdr:row>28</xdr:row>
      <xdr:rowOff>0</xdr:rowOff>
    </xdr:from>
    <xdr:to>
      <xdr:col>46</xdr:col>
      <xdr:colOff>122493</xdr:colOff>
      <xdr:row>28</xdr:row>
      <xdr:rowOff>0</xdr:rowOff>
    </xdr:to>
    <xdr:cxnSp macro="">
      <xdr:nvCxnSpPr>
        <xdr:cNvPr id="9" name="Conector recto 13">
          <a:extLst>
            <a:ext uri="{FF2B5EF4-FFF2-40B4-BE49-F238E27FC236}">
              <a16:creationId xmlns:a16="http://schemas.microsoft.com/office/drawing/2014/main" id="{00000000-0008-0000-0A00-000009000000}"/>
            </a:ext>
          </a:extLst>
        </xdr:cNvPr>
        <xdr:cNvCxnSpPr/>
      </xdr:nvCxnSpPr>
      <xdr:spPr>
        <a:xfrm>
          <a:off x="4905375"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22</xdr:col>
          <xdr:colOff>0</xdr:colOff>
          <xdr:row>27</xdr:row>
          <xdr:rowOff>19050</xdr:rowOff>
        </xdr:from>
        <xdr:to>
          <xdr:col>35</xdr:col>
          <xdr:colOff>123825</xdr:colOff>
          <xdr:row>27</xdr:row>
          <xdr:rowOff>561975</xdr:rowOff>
        </xdr:to>
        <xdr:pic>
          <xdr:nvPicPr>
            <xdr:cNvPr id="26628" name="Picture 4">
              <a:extLst>
                <a:ext uri="{FF2B5EF4-FFF2-40B4-BE49-F238E27FC236}">
                  <a16:creationId xmlns:a16="http://schemas.microsoft.com/office/drawing/2014/main" id="{00000000-0008-0000-0A00-000004680000}"/>
                </a:ext>
              </a:extLst>
            </xdr:cNvPr>
            <xdr:cNvPicPr>
              <a:picLocks noChangeAspect="1"/>
              <a:extLst>
                <a:ext uri="{84589F7E-364E-4C9E-8A38-B11213B215E9}">
                  <a14:cameraTool cellRange="revisofirmas11" spid="_x0000_s202797"/>
                </a:ext>
              </a:extLst>
            </xdr:cNvPicPr>
          </xdr:nvPicPr>
          <xdr:blipFill>
            <a:blip xmlns:r="http://schemas.openxmlformats.org/officeDocument/2006/relationships" r:embed="rId2"/>
            <a:srcRect/>
            <a:stretch>
              <a:fillRect/>
            </a:stretch>
          </xdr:blipFill>
          <xdr:spPr bwMode="auto">
            <a:xfrm>
              <a:off x="3124200" y="7210425"/>
              <a:ext cx="1666875" cy="5429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27</xdr:row>
          <xdr:rowOff>38100</xdr:rowOff>
        </xdr:from>
        <xdr:to>
          <xdr:col>47</xdr:col>
          <xdr:colOff>114300</xdr:colOff>
          <xdr:row>27</xdr:row>
          <xdr:rowOff>552450</xdr:rowOff>
        </xdr:to>
        <xdr:pic>
          <xdr:nvPicPr>
            <xdr:cNvPr id="26629" name="Picture 5">
              <a:extLst>
                <a:ext uri="{FF2B5EF4-FFF2-40B4-BE49-F238E27FC236}">
                  <a16:creationId xmlns:a16="http://schemas.microsoft.com/office/drawing/2014/main" id="{00000000-0008-0000-0A00-000005680000}"/>
                </a:ext>
              </a:extLst>
            </xdr:cNvPr>
            <xdr:cNvPicPr>
              <a:picLocks noChangeAspect="1"/>
              <a:extLst>
                <a:ext uri="{84589F7E-364E-4C9E-8A38-B11213B215E9}">
                  <a14:cameraTool cellRange="aprobofirmas11" spid="_x0000_s202798"/>
                </a:ext>
              </a:extLst>
            </xdr:cNvPicPr>
          </xdr:nvPicPr>
          <xdr:blipFill>
            <a:blip xmlns:r="http://schemas.openxmlformats.org/officeDocument/2006/relationships" r:embed="rId3"/>
            <a:srcRect/>
            <a:stretch>
              <a:fillRect/>
            </a:stretch>
          </xdr:blipFill>
          <xdr:spPr bwMode="auto">
            <a:xfrm>
              <a:off x="4800600" y="7229475"/>
              <a:ext cx="1638300"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19050</xdr:rowOff>
        </xdr:from>
        <xdr:to>
          <xdr:col>21</xdr:col>
          <xdr:colOff>142875</xdr:colOff>
          <xdr:row>27</xdr:row>
          <xdr:rowOff>533400</xdr:rowOff>
        </xdr:to>
        <xdr:pic>
          <xdr:nvPicPr>
            <xdr:cNvPr id="26630" name="Picture 6">
              <a:extLst>
                <a:ext uri="{FF2B5EF4-FFF2-40B4-BE49-F238E27FC236}">
                  <a16:creationId xmlns:a16="http://schemas.microsoft.com/office/drawing/2014/main" id="{00000000-0008-0000-0A00-000006680000}"/>
                </a:ext>
              </a:extLst>
            </xdr:cNvPr>
            <xdr:cNvPicPr>
              <a:picLocks noChangeAspect="1"/>
              <a:extLst>
                <a:ext uri="{84589F7E-364E-4C9E-8A38-B11213B215E9}">
                  <a14:cameraTool cellRange="elaborofirmas11" spid="_x0000_s202799"/>
                </a:ext>
              </a:extLst>
            </xdr:cNvPicPr>
          </xdr:nvPicPr>
          <xdr:blipFill>
            <a:blip xmlns:r="http://schemas.openxmlformats.org/officeDocument/2006/relationships" r:embed="rId4"/>
            <a:srcRect/>
            <a:stretch>
              <a:fillRect/>
            </a:stretch>
          </xdr:blipFill>
          <xdr:spPr bwMode="auto">
            <a:xfrm>
              <a:off x="1466850" y="7210425"/>
              <a:ext cx="1628775" cy="514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xdr:col>
      <xdr:colOff>447675</xdr:colOff>
      <xdr:row>9</xdr:row>
      <xdr:rowOff>104775</xdr:rowOff>
    </xdr:from>
    <xdr:to>
      <xdr:col>8</xdr:col>
      <xdr:colOff>628650</xdr:colOff>
      <xdr:row>25</xdr:row>
      <xdr:rowOff>66675</xdr:rowOff>
    </xdr:to>
    <xdr:graphicFrame macro="">
      <xdr:nvGraphicFramePr>
        <xdr:cNvPr id="5" name="8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569595</xdr:colOff>
      <xdr:row>9</xdr:row>
      <xdr:rowOff>171450</xdr:rowOff>
    </xdr:from>
    <xdr:to>
      <xdr:col>7</xdr:col>
      <xdr:colOff>314324</xdr:colOff>
      <xdr:row>11</xdr:row>
      <xdr:rowOff>38100</xdr:rowOff>
    </xdr:to>
    <xdr:sp macro="" textlink="">
      <xdr:nvSpPr>
        <xdr:cNvPr id="9" name="8 CuadroTexto">
          <a:extLst>
            <a:ext uri="{FF2B5EF4-FFF2-40B4-BE49-F238E27FC236}">
              <a16:creationId xmlns:a16="http://schemas.microsoft.com/office/drawing/2014/main" id="{00000000-0008-0000-0B00-000009000000}"/>
            </a:ext>
          </a:extLst>
        </xdr:cNvPr>
        <xdr:cNvSpPr txBox="1"/>
      </xdr:nvSpPr>
      <xdr:spPr>
        <a:xfrm>
          <a:off x="2484120" y="1752600"/>
          <a:ext cx="1906904"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CO" sz="900" b="1">
              <a:latin typeface="Arial" panose="020B0604020202020204" pitchFamily="34" charset="0"/>
              <a:cs typeface="Arial" panose="020B0604020202020204" pitchFamily="34" charset="0"/>
            </a:rPr>
            <a:t>CURVAS DE COMPACTACIÓN</a:t>
          </a:r>
        </a:p>
      </xdr:txBody>
    </xdr:sp>
    <xdr:clientData/>
  </xdr:twoCellAnchor>
  <xdr:oneCellAnchor>
    <xdr:from>
      <xdr:col>1</xdr:col>
      <xdr:colOff>538921</xdr:colOff>
      <xdr:row>10</xdr:row>
      <xdr:rowOff>59056</xdr:rowOff>
    </xdr:from>
    <xdr:ext cx="224998" cy="2669028"/>
    <xdr:sp macro="" textlink="">
      <xdr:nvSpPr>
        <xdr:cNvPr id="10" name="9 CuadroTexto">
          <a:extLst>
            <a:ext uri="{FF2B5EF4-FFF2-40B4-BE49-F238E27FC236}">
              <a16:creationId xmlns:a16="http://schemas.microsoft.com/office/drawing/2014/main" id="{00000000-0008-0000-0B00-00000A000000}"/>
            </a:ext>
          </a:extLst>
        </xdr:cNvPr>
        <xdr:cNvSpPr txBox="1"/>
      </xdr:nvSpPr>
      <xdr:spPr>
        <a:xfrm rot="16200000">
          <a:off x="-321144" y="3052721"/>
          <a:ext cx="2669028"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900">
              <a:latin typeface="Arial" panose="020B0604020202020204" pitchFamily="34" charset="0"/>
              <a:cs typeface="Arial" panose="020B0604020202020204" pitchFamily="34" charset="0"/>
            </a:rPr>
            <a:t>PESO</a:t>
          </a:r>
          <a:r>
            <a:rPr lang="es-CO" sz="900" baseline="0">
              <a:latin typeface="Arial" panose="020B0604020202020204" pitchFamily="34" charset="0"/>
              <a:cs typeface="Arial" panose="020B0604020202020204" pitchFamily="34" charset="0"/>
            </a:rPr>
            <a:t> UNITARIO (kN/m</a:t>
          </a:r>
          <a:r>
            <a:rPr lang="es-CO" sz="900" baseline="30000">
              <a:latin typeface="Arial" panose="020B0604020202020204" pitchFamily="34" charset="0"/>
              <a:cs typeface="Arial" panose="020B0604020202020204" pitchFamily="34" charset="0"/>
            </a:rPr>
            <a:t>3</a:t>
          </a:r>
          <a:r>
            <a:rPr lang="es-CO" sz="900" baseline="0">
              <a:latin typeface="Arial" panose="020B0604020202020204" pitchFamily="34" charset="0"/>
              <a:cs typeface="Arial" panose="020B0604020202020204" pitchFamily="34" charset="0"/>
            </a:rPr>
            <a:t>)</a:t>
          </a:r>
          <a:endParaRPr lang="es-CO" sz="900">
            <a:latin typeface="Arial" panose="020B0604020202020204" pitchFamily="34" charset="0"/>
            <a:cs typeface="Arial" panose="020B0604020202020204" pitchFamily="34" charset="0"/>
          </a:endParaRPr>
        </a:p>
      </xdr:txBody>
    </xdr:sp>
    <xdr:clientData/>
  </xdr:oneCellAnchor>
  <xdr:oneCellAnchor>
    <xdr:from>
      <xdr:col>3</xdr:col>
      <xdr:colOff>95250</xdr:colOff>
      <xdr:row>23</xdr:row>
      <xdr:rowOff>190499</xdr:rowOff>
    </xdr:from>
    <xdr:ext cx="3045721" cy="238125"/>
    <xdr:sp macro="" textlink="">
      <xdr:nvSpPr>
        <xdr:cNvPr id="11" name="10 CuadroTexto">
          <a:extLst>
            <a:ext uri="{FF2B5EF4-FFF2-40B4-BE49-F238E27FC236}">
              <a16:creationId xmlns:a16="http://schemas.microsoft.com/office/drawing/2014/main" id="{00000000-0008-0000-0B00-00000B000000}"/>
            </a:ext>
          </a:extLst>
        </xdr:cNvPr>
        <xdr:cNvSpPr txBox="1"/>
      </xdr:nvSpPr>
      <xdr:spPr>
        <a:xfrm>
          <a:off x="1343025" y="4438649"/>
          <a:ext cx="3045721"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CO" sz="900">
              <a:latin typeface="Arial" panose="020B0604020202020204" pitchFamily="34" charset="0"/>
              <a:cs typeface="Arial" panose="020B0604020202020204" pitchFamily="34" charset="0"/>
            </a:rPr>
            <a:t>% HUMEDAD</a:t>
          </a:r>
        </a:p>
      </xdr:txBody>
    </xdr:sp>
    <xdr:clientData/>
  </xdr:oneCellAnchor>
  <xdr:twoCellAnchor editAs="oneCell">
    <xdr:from>
      <xdr:col>0</xdr:col>
      <xdr:colOff>114300</xdr:colOff>
      <xdr:row>0</xdr:row>
      <xdr:rowOff>76201</xdr:rowOff>
    </xdr:from>
    <xdr:to>
      <xdr:col>1</xdr:col>
      <xdr:colOff>581025</xdr:colOff>
      <xdr:row>4</xdr:row>
      <xdr:rowOff>104776</xdr:rowOff>
    </xdr:to>
    <xdr:pic>
      <xdr:nvPicPr>
        <xdr:cNvPr id="16" name="Imagen 2">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2" cstate="print"/>
        <a:srcRect/>
        <a:stretch>
          <a:fillRect/>
        </a:stretch>
      </xdr:blipFill>
      <xdr:spPr bwMode="auto">
        <a:xfrm>
          <a:off x="114300" y="76201"/>
          <a:ext cx="1200150" cy="762000"/>
        </a:xfrm>
        <a:prstGeom prst="rect">
          <a:avLst/>
        </a:prstGeom>
        <a:noFill/>
        <a:ln w="9525">
          <a:noFill/>
          <a:miter lim="800000"/>
          <a:headEnd/>
          <a:tailEnd/>
        </a:ln>
      </xdr:spPr>
    </xdr:pic>
    <xdr:clientData/>
  </xdr:twoCellAnchor>
  <xdr:twoCellAnchor>
    <xdr:from>
      <xdr:col>2</xdr:col>
      <xdr:colOff>114300</xdr:colOff>
      <xdr:row>41</xdr:row>
      <xdr:rowOff>0</xdr:rowOff>
    </xdr:from>
    <xdr:to>
      <xdr:col>4</xdr:col>
      <xdr:colOff>503493</xdr:colOff>
      <xdr:row>41</xdr:row>
      <xdr:rowOff>0</xdr:rowOff>
    </xdr:to>
    <xdr:cxnSp macro="">
      <xdr:nvCxnSpPr>
        <xdr:cNvPr id="22" name="Conector recto 13">
          <a:extLst>
            <a:ext uri="{FF2B5EF4-FFF2-40B4-BE49-F238E27FC236}">
              <a16:creationId xmlns:a16="http://schemas.microsoft.com/office/drawing/2014/main" id="{00000000-0008-0000-0B00-000016000000}"/>
            </a:ext>
          </a:extLst>
        </xdr:cNvPr>
        <xdr:cNvCxnSpPr/>
      </xdr:nvCxnSpPr>
      <xdr:spPr>
        <a:xfrm>
          <a:off x="1571625"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171450</xdr:colOff>
      <xdr:row>41</xdr:row>
      <xdr:rowOff>0</xdr:rowOff>
    </xdr:from>
    <xdr:to>
      <xdr:col>7</xdr:col>
      <xdr:colOff>646368</xdr:colOff>
      <xdr:row>41</xdr:row>
      <xdr:rowOff>0</xdr:rowOff>
    </xdr:to>
    <xdr:cxnSp macro="">
      <xdr:nvCxnSpPr>
        <xdr:cNvPr id="23" name="Conector recto 13">
          <a:extLst>
            <a:ext uri="{FF2B5EF4-FFF2-40B4-BE49-F238E27FC236}">
              <a16:creationId xmlns:a16="http://schemas.microsoft.com/office/drawing/2014/main" id="{00000000-0008-0000-0B00-000017000000}"/>
            </a:ext>
          </a:extLst>
        </xdr:cNvPr>
        <xdr:cNvCxnSpPr/>
      </xdr:nvCxnSpPr>
      <xdr:spPr>
        <a:xfrm>
          <a:off x="3305175"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41</xdr:row>
      <xdr:rowOff>0</xdr:rowOff>
    </xdr:from>
    <xdr:to>
      <xdr:col>10</xdr:col>
      <xdr:colOff>93918</xdr:colOff>
      <xdr:row>41</xdr:row>
      <xdr:rowOff>0</xdr:rowOff>
    </xdr:to>
    <xdr:cxnSp macro="">
      <xdr:nvCxnSpPr>
        <xdr:cNvPr id="24" name="Conector recto 13">
          <a:extLst>
            <a:ext uri="{FF2B5EF4-FFF2-40B4-BE49-F238E27FC236}">
              <a16:creationId xmlns:a16="http://schemas.microsoft.com/office/drawing/2014/main" id="{00000000-0008-0000-0B00-000018000000}"/>
            </a:ext>
          </a:extLst>
        </xdr:cNvPr>
        <xdr:cNvCxnSpPr/>
      </xdr:nvCxnSpPr>
      <xdr:spPr>
        <a:xfrm>
          <a:off x="4972050"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19050</xdr:colOff>
          <xdr:row>40</xdr:row>
          <xdr:rowOff>9525</xdr:rowOff>
        </xdr:from>
        <xdr:to>
          <xdr:col>7</xdr:col>
          <xdr:colOff>600075</xdr:colOff>
          <xdr:row>40</xdr:row>
          <xdr:rowOff>485775</xdr:rowOff>
        </xdr:to>
        <xdr:pic>
          <xdr:nvPicPr>
            <xdr:cNvPr id="27650" name="Picture 2">
              <a:extLst>
                <a:ext uri="{FF2B5EF4-FFF2-40B4-BE49-F238E27FC236}">
                  <a16:creationId xmlns:a16="http://schemas.microsoft.com/office/drawing/2014/main" id="{00000000-0008-0000-0B00-0000026C0000}"/>
                </a:ext>
              </a:extLst>
            </xdr:cNvPr>
            <xdr:cNvPicPr>
              <a:picLocks noChangeAspect="1"/>
              <a:extLst>
                <a:ext uri="{84589F7E-364E-4C9E-8A38-B11213B215E9}">
                  <a14:cameraTool cellRange="revisofirmas12" spid="_x0000_s203821"/>
                </a:ext>
              </a:extLst>
            </xdr:cNvPicPr>
          </xdr:nvPicPr>
          <xdr:blipFill>
            <a:blip xmlns:r="http://schemas.openxmlformats.org/officeDocument/2006/relationships" r:embed="rId3"/>
            <a:srcRect/>
            <a:stretch>
              <a:fillRect/>
            </a:stretch>
          </xdr:blipFill>
          <xdr:spPr bwMode="auto">
            <a:xfrm>
              <a:off x="3162300" y="7943850"/>
              <a:ext cx="16573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19050</xdr:rowOff>
        </xdr:from>
        <xdr:to>
          <xdr:col>10</xdr:col>
          <xdr:colOff>180975</xdr:colOff>
          <xdr:row>40</xdr:row>
          <xdr:rowOff>485775</xdr:rowOff>
        </xdr:to>
        <xdr:pic>
          <xdr:nvPicPr>
            <xdr:cNvPr id="27651" name="Picture 3">
              <a:extLst>
                <a:ext uri="{FF2B5EF4-FFF2-40B4-BE49-F238E27FC236}">
                  <a16:creationId xmlns:a16="http://schemas.microsoft.com/office/drawing/2014/main" id="{00000000-0008-0000-0B00-0000036C0000}"/>
                </a:ext>
              </a:extLst>
            </xdr:cNvPr>
            <xdr:cNvPicPr>
              <a:picLocks noChangeAspect="1"/>
              <a:extLst>
                <a:ext uri="{84589F7E-364E-4C9E-8A38-B11213B215E9}">
                  <a14:cameraTool cellRange="aprobofirmas12" spid="_x0000_s203822"/>
                </a:ext>
              </a:extLst>
            </xdr:cNvPicPr>
          </xdr:nvPicPr>
          <xdr:blipFill>
            <a:blip xmlns:r="http://schemas.openxmlformats.org/officeDocument/2006/relationships" r:embed="rId4"/>
            <a:srcRect/>
            <a:stretch>
              <a:fillRect/>
            </a:stretch>
          </xdr:blipFill>
          <xdr:spPr bwMode="auto">
            <a:xfrm>
              <a:off x="4981575" y="7953375"/>
              <a:ext cx="1466850" cy="4667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19050</xdr:rowOff>
        </xdr:from>
        <xdr:to>
          <xdr:col>5</xdr:col>
          <xdr:colOff>0</xdr:colOff>
          <xdr:row>40</xdr:row>
          <xdr:rowOff>485775</xdr:rowOff>
        </xdr:to>
        <xdr:pic>
          <xdr:nvPicPr>
            <xdr:cNvPr id="27652" name="Picture 4">
              <a:extLst>
                <a:ext uri="{FF2B5EF4-FFF2-40B4-BE49-F238E27FC236}">
                  <a16:creationId xmlns:a16="http://schemas.microsoft.com/office/drawing/2014/main" id="{00000000-0008-0000-0B00-0000046C0000}"/>
                </a:ext>
              </a:extLst>
            </xdr:cNvPr>
            <xdr:cNvPicPr>
              <a:picLocks noChangeAspect="1"/>
              <a:extLst>
                <a:ext uri="{84589F7E-364E-4C9E-8A38-B11213B215E9}">
                  <a14:cameraTool cellRange="elaborofirmas12" spid="_x0000_s203823"/>
                </a:ext>
              </a:extLst>
            </xdr:cNvPicPr>
          </xdr:nvPicPr>
          <xdr:blipFill>
            <a:blip xmlns:r="http://schemas.openxmlformats.org/officeDocument/2006/relationships" r:embed="rId5"/>
            <a:srcRect/>
            <a:stretch>
              <a:fillRect/>
            </a:stretch>
          </xdr:blipFill>
          <xdr:spPr bwMode="auto">
            <a:xfrm>
              <a:off x="1485900" y="7953375"/>
              <a:ext cx="1657350" cy="466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361950</xdr:colOff>
      <xdr:row>0</xdr:row>
      <xdr:rowOff>0</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142875</xdr:colOff>
      <xdr:row>0</xdr:row>
      <xdr:rowOff>0</xdr:rowOff>
    </xdr:from>
    <xdr:to>
      <xdr:col>7</xdr:col>
      <xdr:colOff>142875</xdr:colOff>
      <xdr:row>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14382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171450</xdr:colOff>
      <xdr:row>0</xdr:row>
      <xdr:rowOff>0</xdr:rowOff>
    </xdr:from>
    <xdr:to>
      <xdr:col>16</xdr:col>
      <xdr:colOff>171450</xdr:colOff>
      <xdr:row>0</xdr:row>
      <xdr:rowOff>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33337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47625</xdr:colOff>
      <xdr:row>0</xdr:row>
      <xdr:rowOff>0</xdr:rowOff>
    </xdr:from>
    <xdr:to>
      <xdr:col>6</xdr:col>
      <xdr:colOff>47625</xdr:colOff>
      <xdr:row>0</xdr:row>
      <xdr:rowOff>0</xdr:rowOff>
    </xdr:to>
    <xdr:sp macro="" textlink="">
      <xdr:nvSpPr>
        <xdr:cNvPr id="5" name="Line 4">
          <a:extLst>
            <a:ext uri="{FF2B5EF4-FFF2-40B4-BE49-F238E27FC236}">
              <a16:creationId xmlns:a16="http://schemas.microsoft.com/office/drawing/2014/main" id="{00000000-0008-0000-0100-000005000000}"/>
            </a:ext>
          </a:extLst>
        </xdr:cNvPr>
        <xdr:cNvSpPr>
          <a:spLocks noChangeShapeType="1"/>
        </xdr:cNvSpPr>
      </xdr:nvSpPr>
      <xdr:spPr bwMode="auto">
        <a:xfrm>
          <a:off x="11525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0</xdr:row>
      <xdr:rowOff>0</xdr:rowOff>
    </xdr:from>
    <xdr:to>
      <xdr:col>6</xdr:col>
      <xdr:colOff>76200</xdr:colOff>
      <xdr:row>0</xdr:row>
      <xdr:rowOff>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a:off x="11811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0</xdr:row>
      <xdr:rowOff>0</xdr:rowOff>
    </xdr:from>
    <xdr:to>
      <xdr:col>11</xdr:col>
      <xdr:colOff>28575</xdr:colOff>
      <xdr:row>0</xdr:row>
      <xdr:rowOff>0</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flipV="1">
          <a:off x="21812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20</xdr:col>
      <xdr:colOff>361950</xdr:colOff>
      <xdr:row>0</xdr:row>
      <xdr:rowOff>0</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142875</xdr:colOff>
      <xdr:row>0</xdr:row>
      <xdr:rowOff>0</xdr:rowOff>
    </xdr:from>
    <xdr:to>
      <xdr:col>7</xdr:col>
      <xdr:colOff>142875</xdr:colOff>
      <xdr:row>0</xdr:row>
      <xdr:rowOff>0</xdr:rowOff>
    </xdr:to>
    <xdr:sp macro="" textlink="">
      <xdr:nvSpPr>
        <xdr:cNvPr id="9" name="Line 10">
          <a:extLst>
            <a:ext uri="{FF2B5EF4-FFF2-40B4-BE49-F238E27FC236}">
              <a16:creationId xmlns:a16="http://schemas.microsoft.com/office/drawing/2014/main" id="{00000000-0008-0000-0100-000009000000}"/>
            </a:ext>
          </a:extLst>
        </xdr:cNvPr>
        <xdr:cNvSpPr>
          <a:spLocks noChangeShapeType="1"/>
        </xdr:cNvSpPr>
      </xdr:nvSpPr>
      <xdr:spPr bwMode="auto">
        <a:xfrm>
          <a:off x="14382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171450</xdr:colOff>
      <xdr:row>0</xdr:row>
      <xdr:rowOff>0</xdr:rowOff>
    </xdr:from>
    <xdr:to>
      <xdr:col>16</xdr:col>
      <xdr:colOff>171450</xdr:colOff>
      <xdr:row>0</xdr:row>
      <xdr:rowOff>0</xdr:rowOff>
    </xdr:to>
    <xdr:sp macro="" textlink="">
      <xdr:nvSpPr>
        <xdr:cNvPr id="10" name="Line 11">
          <a:extLst>
            <a:ext uri="{FF2B5EF4-FFF2-40B4-BE49-F238E27FC236}">
              <a16:creationId xmlns:a16="http://schemas.microsoft.com/office/drawing/2014/main" id="{00000000-0008-0000-0100-00000A000000}"/>
            </a:ext>
          </a:extLst>
        </xdr:cNvPr>
        <xdr:cNvSpPr>
          <a:spLocks noChangeShapeType="1"/>
        </xdr:cNvSpPr>
      </xdr:nvSpPr>
      <xdr:spPr bwMode="auto">
        <a:xfrm>
          <a:off x="33337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47625</xdr:colOff>
      <xdr:row>0</xdr:row>
      <xdr:rowOff>0</xdr:rowOff>
    </xdr:from>
    <xdr:to>
      <xdr:col>6</xdr:col>
      <xdr:colOff>47625</xdr:colOff>
      <xdr:row>0</xdr:row>
      <xdr:rowOff>0</xdr:rowOff>
    </xdr:to>
    <xdr:sp macro="" textlink="">
      <xdr:nvSpPr>
        <xdr:cNvPr id="11" name="Line 14">
          <a:extLst>
            <a:ext uri="{FF2B5EF4-FFF2-40B4-BE49-F238E27FC236}">
              <a16:creationId xmlns:a16="http://schemas.microsoft.com/office/drawing/2014/main" id="{00000000-0008-0000-0100-00000B000000}"/>
            </a:ext>
          </a:extLst>
        </xdr:cNvPr>
        <xdr:cNvSpPr>
          <a:spLocks noChangeShapeType="1"/>
        </xdr:cNvSpPr>
      </xdr:nvSpPr>
      <xdr:spPr bwMode="auto">
        <a:xfrm>
          <a:off x="11525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0</xdr:row>
      <xdr:rowOff>0</xdr:rowOff>
    </xdr:from>
    <xdr:to>
      <xdr:col>6</xdr:col>
      <xdr:colOff>76200</xdr:colOff>
      <xdr:row>0</xdr:row>
      <xdr:rowOff>0</xdr:rowOff>
    </xdr:to>
    <xdr:sp macro="" textlink="">
      <xdr:nvSpPr>
        <xdr:cNvPr id="12" name="Line 15">
          <a:extLst>
            <a:ext uri="{FF2B5EF4-FFF2-40B4-BE49-F238E27FC236}">
              <a16:creationId xmlns:a16="http://schemas.microsoft.com/office/drawing/2014/main" id="{00000000-0008-0000-0100-00000C000000}"/>
            </a:ext>
          </a:extLst>
        </xdr:cNvPr>
        <xdr:cNvSpPr>
          <a:spLocks noChangeShapeType="1"/>
        </xdr:cNvSpPr>
      </xdr:nvSpPr>
      <xdr:spPr bwMode="auto">
        <a:xfrm>
          <a:off x="11811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0</xdr:row>
      <xdr:rowOff>0</xdr:rowOff>
    </xdr:from>
    <xdr:to>
      <xdr:col>11</xdr:col>
      <xdr:colOff>28575</xdr:colOff>
      <xdr:row>0</xdr:row>
      <xdr:rowOff>0</xdr:rowOff>
    </xdr:to>
    <xdr:sp macro="" textlink="">
      <xdr:nvSpPr>
        <xdr:cNvPr id="13" name="Line 17">
          <a:extLst>
            <a:ext uri="{FF2B5EF4-FFF2-40B4-BE49-F238E27FC236}">
              <a16:creationId xmlns:a16="http://schemas.microsoft.com/office/drawing/2014/main" id="{00000000-0008-0000-0100-00000D000000}"/>
            </a:ext>
          </a:extLst>
        </xdr:cNvPr>
        <xdr:cNvSpPr>
          <a:spLocks noChangeShapeType="1"/>
        </xdr:cNvSpPr>
      </xdr:nvSpPr>
      <xdr:spPr bwMode="auto">
        <a:xfrm flipV="1">
          <a:off x="21812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38101</xdr:colOff>
      <xdr:row>24</xdr:row>
      <xdr:rowOff>57149</xdr:rowOff>
    </xdr:from>
    <xdr:to>
      <xdr:col>31</xdr:col>
      <xdr:colOff>47625</xdr:colOff>
      <xdr:row>40</xdr:row>
      <xdr:rowOff>123825</xdr:rowOff>
    </xdr:to>
    <xdr:graphicFrame macro="">
      <xdr:nvGraphicFramePr>
        <xdr:cNvPr id="14" name="Gráfico 19">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1</xdr:col>
      <xdr:colOff>86458</xdr:colOff>
      <xdr:row>0</xdr:row>
      <xdr:rowOff>44694</xdr:rowOff>
    </xdr:from>
    <xdr:to>
      <xdr:col>6</xdr:col>
      <xdr:colOff>92320</xdr:colOff>
      <xdr:row>4</xdr:row>
      <xdr:rowOff>95250</xdr:rowOff>
    </xdr:to>
    <xdr:pic>
      <xdr:nvPicPr>
        <xdr:cNvPr id="15" name="Imagen 2">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cstate="print"/>
        <a:srcRect/>
        <a:stretch>
          <a:fillRect/>
        </a:stretch>
      </xdr:blipFill>
      <xdr:spPr bwMode="auto">
        <a:xfrm>
          <a:off x="305533" y="44694"/>
          <a:ext cx="1082187" cy="783981"/>
        </a:xfrm>
        <a:prstGeom prst="rect">
          <a:avLst/>
        </a:prstGeom>
        <a:noFill/>
        <a:ln w="9525">
          <a:noFill/>
          <a:miter lim="800000"/>
          <a:headEnd/>
          <a:tailEnd/>
        </a:ln>
      </xdr:spPr>
    </xdr:pic>
    <xdr:clientData/>
  </xdr:twoCellAnchor>
  <xdr:twoCellAnchor>
    <xdr:from>
      <xdr:col>8</xdr:col>
      <xdr:colOff>163390</xdr:colOff>
      <xdr:row>45</xdr:row>
      <xdr:rowOff>7327</xdr:rowOff>
    </xdr:from>
    <xdr:to>
      <xdr:col>15</xdr:col>
      <xdr:colOff>123092</xdr:colOff>
      <xdr:row>45</xdr:row>
      <xdr:rowOff>7327</xdr:rowOff>
    </xdr:to>
    <xdr:cxnSp macro="">
      <xdr:nvCxnSpPr>
        <xdr:cNvPr id="19" name="Conector recto 10">
          <a:extLst>
            <a:ext uri="{FF2B5EF4-FFF2-40B4-BE49-F238E27FC236}">
              <a16:creationId xmlns:a16="http://schemas.microsoft.com/office/drawing/2014/main" id="{00000000-0008-0000-0100-000013000000}"/>
            </a:ext>
          </a:extLst>
        </xdr:cNvPr>
        <xdr:cNvCxnSpPr/>
      </xdr:nvCxnSpPr>
      <xdr:spPr>
        <a:xfrm>
          <a:off x="1677865" y="8951302"/>
          <a:ext cx="138845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117231</xdr:colOff>
      <xdr:row>45</xdr:row>
      <xdr:rowOff>4396</xdr:rowOff>
    </xdr:from>
    <xdr:to>
      <xdr:col>23</xdr:col>
      <xdr:colOff>76933</xdr:colOff>
      <xdr:row>45</xdr:row>
      <xdr:rowOff>4396</xdr:rowOff>
    </xdr:to>
    <xdr:cxnSp macro="">
      <xdr:nvCxnSpPr>
        <xdr:cNvPr id="20" name="Conector recto 10">
          <a:extLst>
            <a:ext uri="{FF2B5EF4-FFF2-40B4-BE49-F238E27FC236}">
              <a16:creationId xmlns:a16="http://schemas.microsoft.com/office/drawing/2014/main" id="{00000000-0008-0000-0100-000014000000}"/>
            </a:ext>
          </a:extLst>
        </xdr:cNvPr>
        <xdr:cNvCxnSpPr/>
      </xdr:nvCxnSpPr>
      <xdr:spPr>
        <a:xfrm>
          <a:off x="3279531" y="8948371"/>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168520</xdr:colOff>
      <xdr:row>45</xdr:row>
      <xdr:rowOff>7327</xdr:rowOff>
    </xdr:from>
    <xdr:to>
      <xdr:col>31</xdr:col>
      <xdr:colOff>69607</xdr:colOff>
      <xdr:row>45</xdr:row>
      <xdr:rowOff>7327</xdr:rowOff>
    </xdr:to>
    <xdr:cxnSp macro="">
      <xdr:nvCxnSpPr>
        <xdr:cNvPr id="23" name="Conector recto 10">
          <a:extLst>
            <a:ext uri="{FF2B5EF4-FFF2-40B4-BE49-F238E27FC236}">
              <a16:creationId xmlns:a16="http://schemas.microsoft.com/office/drawing/2014/main" id="{00000000-0008-0000-0100-000017000000}"/>
            </a:ext>
          </a:extLst>
        </xdr:cNvPr>
        <xdr:cNvCxnSpPr/>
      </xdr:nvCxnSpPr>
      <xdr:spPr>
        <a:xfrm>
          <a:off x="4997695" y="8951302"/>
          <a:ext cx="141556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8</xdr:col>
          <xdr:colOff>0</xdr:colOff>
          <xdr:row>44</xdr:row>
          <xdr:rowOff>9525</xdr:rowOff>
        </xdr:from>
        <xdr:to>
          <xdr:col>15</xdr:col>
          <xdr:colOff>76200</xdr:colOff>
          <xdr:row>44</xdr:row>
          <xdr:rowOff>514350</xdr:rowOff>
        </xdr:to>
        <xdr:pic>
          <xdr:nvPicPr>
            <xdr:cNvPr id="30722" name="Imagen 30">
              <a:extLst>
                <a:ext uri="{FF2B5EF4-FFF2-40B4-BE49-F238E27FC236}">
                  <a16:creationId xmlns:a16="http://schemas.microsoft.com/office/drawing/2014/main" id="{00000000-0008-0000-0100-000002780000}"/>
                </a:ext>
              </a:extLst>
            </xdr:cNvPr>
            <xdr:cNvPicPr>
              <a:picLocks noChangeAspect="1"/>
              <a:extLst>
                <a:ext uri="{84589F7E-364E-4C9E-8A38-B11213B215E9}">
                  <a14:cameraTool cellRange="elaborofirmas2" spid="_x0000_s139417"/>
                </a:ext>
              </a:extLst>
            </xdr:cNvPicPr>
          </xdr:nvPicPr>
          <xdr:blipFill>
            <a:blip xmlns:r="http://schemas.openxmlformats.org/officeDocument/2006/relationships" r:embed="rId5"/>
            <a:srcRect/>
            <a:stretch>
              <a:fillRect/>
            </a:stretch>
          </xdr:blipFill>
          <xdr:spPr bwMode="auto">
            <a:xfrm>
              <a:off x="1790700" y="7962900"/>
              <a:ext cx="1447800"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38100</xdr:rowOff>
        </xdr:from>
        <xdr:to>
          <xdr:col>23</xdr:col>
          <xdr:colOff>95250</xdr:colOff>
          <xdr:row>44</xdr:row>
          <xdr:rowOff>447675</xdr:rowOff>
        </xdr:to>
        <xdr:pic>
          <xdr:nvPicPr>
            <xdr:cNvPr id="30723" name="Picture 3">
              <a:extLst>
                <a:ext uri="{FF2B5EF4-FFF2-40B4-BE49-F238E27FC236}">
                  <a16:creationId xmlns:a16="http://schemas.microsoft.com/office/drawing/2014/main" id="{00000000-0008-0000-0100-000003780000}"/>
                </a:ext>
              </a:extLst>
            </xdr:cNvPr>
            <xdr:cNvPicPr>
              <a:picLocks noChangeAspect="1"/>
              <a:extLst>
                <a:ext uri="{84589F7E-364E-4C9E-8A38-B11213B215E9}">
                  <a14:cameraTool cellRange="revisofirmas2" spid="_x0000_s139418"/>
                </a:ext>
              </a:extLst>
            </xdr:cNvPicPr>
          </xdr:nvPicPr>
          <xdr:blipFill>
            <a:blip xmlns:r="http://schemas.openxmlformats.org/officeDocument/2006/relationships" r:embed="rId6"/>
            <a:srcRect/>
            <a:stretch>
              <a:fillRect/>
            </a:stretch>
          </xdr:blipFill>
          <xdr:spPr bwMode="auto">
            <a:xfrm>
              <a:off x="3257550" y="7991475"/>
              <a:ext cx="1495425" cy="40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9525</xdr:rowOff>
        </xdr:from>
        <xdr:to>
          <xdr:col>31</xdr:col>
          <xdr:colOff>142875</xdr:colOff>
          <xdr:row>44</xdr:row>
          <xdr:rowOff>438150</xdr:rowOff>
        </xdr:to>
        <xdr:pic>
          <xdr:nvPicPr>
            <xdr:cNvPr id="30724" name="Picture 4">
              <a:extLst>
                <a:ext uri="{FF2B5EF4-FFF2-40B4-BE49-F238E27FC236}">
                  <a16:creationId xmlns:a16="http://schemas.microsoft.com/office/drawing/2014/main" id="{00000000-0008-0000-0100-000004780000}"/>
                </a:ext>
              </a:extLst>
            </xdr:cNvPr>
            <xdr:cNvPicPr>
              <a:picLocks noChangeAspect="1"/>
              <a:extLst>
                <a:ext uri="{84589F7E-364E-4C9E-8A38-B11213B215E9}">
                  <a14:cameraTool cellRange="aprobofirmas2" spid="_x0000_s139419"/>
                </a:ext>
              </a:extLst>
            </xdr:cNvPicPr>
          </xdr:nvPicPr>
          <xdr:blipFill>
            <a:blip xmlns:r="http://schemas.openxmlformats.org/officeDocument/2006/relationships" r:embed="rId7"/>
            <a:srcRect/>
            <a:stretch>
              <a:fillRect/>
            </a:stretch>
          </xdr:blipFill>
          <xdr:spPr bwMode="auto">
            <a:xfrm>
              <a:off x="4829175" y="8067675"/>
              <a:ext cx="1657350" cy="4286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38101</xdr:colOff>
      <xdr:row>24</xdr:row>
      <xdr:rowOff>57149</xdr:rowOff>
    </xdr:from>
    <xdr:to>
      <xdr:col>31</xdr:col>
      <xdr:colOff>47625</xdr:colOff>
      <xdr:row>40</xdr:row>
      <xdr:rowOff>123825</xdr:rowOff>
    </xdr:to>
    <xdr:graphicFrame macro="">
      <xdr:nvGraphicFramePr>
        <xdr:cNvPr id="22" name="Gráfico 19">
          <a:extLst>
            <a:ext uri="{FF2B5EF4-FFF2-40B4-BE49-F238E27FC236}">
              <a16:creationId xmlns:a16="http://schemas.microsoft.com/office/drawing/2014/main" id="{C58D7773-5C30-41C8-B964-D3FAE597B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editAs="oneCell">
    <xdr:from>
      <xdr:col>1</xdr:col>
      <xdr:colOff>86458</xdr:colOff>
      <xdr:row>0</xdr:row>
      <xdr:rowOff>44694</xdr:rowOff>
    </xdr:from>
    <xdr:to>
      <xdr:col>6</xdr:col>
      <xdr:colOff>92320</xdr:colOff>
      <xdr:row>4</xdr:row>
      <xdr:rowOff>95250</xdr:rowOff>
    </xdr:to>
    <xdr:pic>
      <xdr:nvPicPr>
        <xdr:cNvPr id="24" name="Imagen 2">
          <a:extLst>
            <a:ext uri="{FF2B5EF4-FFF2-40B4-BE49-F238E27FC236}">
              <a16:creationId xmlns:a16="http://schemas.microsoft.com/office/drawing/2014/main" id="{9344FC77-E289-4361-A720-B20E30A70FD6}"/>
            </a:ext>
          </a:extLst>
        </xdr:cNvPr>
        <xdr:cNvPicPr>
          <a:picLocks noChangeAspect="1"/>
        </xdr:cNvPicPr>
      </xdr:nvPicPr>
      <xdr:blipFill>
        <a:blip xmlns:r="http://schemas.openxmlformats.org/officeDocument/2006/relationships" r:embed="rId4" cstate="print"/>
        <a:srcRect/>
        <a:stretch>
          <a:fillRect/>
        </a:stretch>
      </xdr:blipFill>
      <xdr:spPr bwMode="auto">
        <a:xfrm>
          <a:off x="267433" y="44694"/>
          <a:ext cx="1082187" cy="783981"/>
        </a:xfrm>
        <a:prstGeom prst="rect">
          <a:avLst/>
        </a:prstGeom>
        <a:noFill/>
        <a:ln w="9525">
          <a:noFill/>
          <a:miter lim="800000"/>
          <a:headEnd/>
          <a:tailEnd/>
        </a:ln>
      </xdr:spPr>
    </xdr:pic>
    <xdr:clientData/>
  </xdr:twoCellAnchor>
  <xdr:twoCellAnchor>
    <xdr:from>
      <xdr:col>8</xdr:col>
      <xdr:colOff>163390</xdr:colOff>
      <xdr:row>45</xdr:row>
      <xdr:rowOff>7327</xdr:rowOff>
    </xdr:from>
    <xdr:to>
      <xdr:col>15</xdr:col>
      <xdr:colOff>123092</xdr:colOff>
      <xdr:row>45</xdr:row>
      <xdr:rowOff>7327</xdr:rowOff>
    </xdr:to>
    <xdr:cxnSp macro="">
      <xdr:nvCxnSpPr>
        <xdr:cNvPr id="25" name="Conector recto 10">
          <a:extLst>
            <a:ext uri="{FF2B5EF4-FFF2-40B4-BE49-F238E27FC236}">
              <a16:creationId xmlns:a16="http://schemas.microsoft.com/office/drawing/2014/main" id="{139AD8DB-00B8-404F-9A80-6488FD142F04}"/>
            </a:ext>
          </a:extLst>
        </xdr:cNvPr>
        <xdr:cNvCxnSpPr/>
      </xdr:nvCxnSpPr>
      <xdr:spPr>
        <a:xfrm>
          <a:off x="1954090" y="8532202"/>
          <a:ext cx="1302727"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117231</xdr:colOff>
      <xdr:row>45</xdr:row>
      <xdr:rowOff>4396</xdr:rowOff>
    </xdr:from>
    <xdr:to>
      <xdr:col>23</xdr:col>
      <xdr:colOff>76933</xdr:colOff>
      <xdr:row>45</xdr:row>
      <xdr:rowOff>4396</xdr:rowOff>
    </xdr:to>
    <xdr:cxnSp macro="">
      <xdr:nvCxnSpPr>
        <xdr:cNvPr id="26" name="Conector recto 10">
          <a:extLst>
            <a:ext uri="{FF2B5EF4-FFF2-40B4-BE49-F238E27FC236}">
              <a16:creationId xmlns:a16="http://schemas.microsoft.com/office/drawing/2014/main" id="{32F75C3E-FD8A-48F2-89BE-4619876466B6}"/>
            </a:ext>
          </a:extLst>
        </xdr:cNvPr>
        <xdr:cNvCxnSpPr/>
      </xdr:nvCxnSpPr>
      <xdr:spPr>
        <a:xfrm>
          <a:off x="3374781" y="8529271"/>
          <a:ext cx="1359877"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168520</xdr:colOff>
      <xdr:row>45</xdr:row>
      <xdr:rowOff>7327</xdr:rowOff>
    </xdr:from>
    <xdr:to>
      <xdr:col>31</xdr:col>
      <xdr:colOff>69607</xdr:colOff>
      <xdr:row>45</xdr:row>
      <xdr:rowOff>7327</xdr:rowOff>
    </xdr:to>
    <xdr:cxnSp macro="">
      <xdr:nvCxnSpPr>
        <xdr:cNvPr id="27" name="Conector recto 10">
          <a:extLst>
            <a:ext uri="{FF2B5EF4-FFF2-40B4-BE49-F238E27FC236}">
              <a16:creationId xmlns:a16="http://schemas.microsoft.com/office/drawing/2014/main" id="{18A270FB-752E-42A2-90F0-1E81E1D882AC}"/>
            </a:ext>
          </a:extLst>
        </xdr:cNvPr>
        <xdr:cNvCxnSpPr/>
      </xdr:nvCxnSpPr>
      <xdr:spPr>
        <a:xfrm>
          <a:off x="5026270" y="8532202"/>
          <a:ext cx="141556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38101</xdr:colOff>
      <xdr:row>24</xdr:row>
      <xdr:rowOff>57149</xdr:rowOff>
    </xdr:from>
    <xdr:to>
      <xdr:col>31</xdr:col>
      <xdr:colOff>47625</xdr:colOff>
      <xdr:row>40</xdr:row>
      <xdr:rowOff>123825</xdr:rowOff>
    </xdr:to>
    <xdr:graphicFrame macro="">
      <xdr:nvGraphicFramePr>
        <xdr:cNvPr id="31" name="Gráfico 19">
          <a:extLst>
            <a:ext uri="{FF2B5EF4-FFF2-40B4-BE49-F238E27FC236}">
              <a16:creationId xmlns:a16="http://schemas.microsoft.com/office/drawing/2014/main" id="{08A5D27E-EF9D-41CE-A8C5-55CB20332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editAs="oneCell">
    <xdr:from>
      <xdr:col>1</xdr:col>
      <xdr:colOff>86458</xdr:colOff>
      <xdr:row>0</xdr:row>
      <xdr:rowOff>44694</xdr:rowOff>
    </xdr:from>
    <xdr:to>
      <xdr:col>6</xdr:col>
      <xdr:colOff>171450</xdr:colOff>
      <xdr:row>4</xdr:row>
      <xdr:rowOff>152575</xdr:rowOff>
    </xdr:to>
    <xdr:pic>
      <xdr:nvPicPr>
        <xdr:cNvPr id="32" name="Imagen 2">
          <a:extLst>
            <a:ext uri="{FF2B5EF4-FFF2-40B4-BE49-F238E27FC236}">
              <a16:creationId xmlns:a16="http://schemas.microsoft.com/office/drawing/2014/main" id="{16B063CC-CD4D-44A7-BDBE-EFBB52CF566E}"/>
            </a:ext>
          </a:extLst>
        </xdr:cNvPr>
        <xdr:cNvPicPr>
          <a:picLocks noChangeAspect="1"/>
        </xdr:cNvPicPr>
      </xdr:nvPicPr>
      <xdr:blipFill>
        <a:blip xmlns:r="http://schemas.openxmlformats.org/officeDocument/2006/relationships" r:embed="rId4" cstate="print"/>
        <a:srcRect/>
        <a:stretch>
          <a:fillRect/>
        </a:stretch>
      </xdr:blipFill>
      <xdr:spPr bwMode="auto">
        <a:xfrm>
          <a:off x="267433" y="44694"/>
          <a:ext cx="1161317" cy="841306"/>
        </a:xfrm>
        <a:prstGeom prst="rect">
          <a:avLst/>
        </a:prstGeom>
        <a:noFill/>
        <a:ln w="9525">
          <a:noFill/>
          <a:miter lim="800000"/>
          <a:headEnd/>
          <a:tailEnd/>
        </a:ln>
      </xdr:spPr>
    </xdr:pic>
    <xdr:clientData/>
  </xdr:twoCellAnchor>
  <xdr:twoCellAnchor>
    <xdr:from>
      <xdr:col>8</xdr:col>
      <xdr:colOff>163390</xdr:colOff>
      <xdr:row>45</xdr:row>
      <xdr:rowOff>7327</xdr:rowOff>
    </xdr:from>
    <xdr:to>
      <xdr:col>15</xdr:col>
      <xdr:colOff>123092</xdr:colOff>
      <xdr:row>45</xdr:row>
      <xdr:rowOff>7327</xdr:rowOff>
    </xdr:to>
    <xdr:cxnSp macro="">
      <xdr:nvCxnSpPr>
        <xdr:cNvPr id="33" name="Conector recto 10">
          <a:extLst>
            <a:ext uri="{FF2B5EF4-FFF2-40B4-BE49-F238E27FC236}">
              <a16:creationId xmlns:a16="http://schemas.microsoft.com/office/drawing/2014/main" id="{98C34362-08A4-40A0-BA6E-8FEACA4CF839}"/>
            </a:ext>
          </a:extLst>
        </xdr:cNvPr>
        <xdr:cNvCxnSpPr/>
      </xdr:nvCxnSpPr>
      <xdr:spPr>
        <a:xfrm>
          <a:off x="1954090" y="8532202"/>
          <a:ext cx="1302727"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117231</xdr:colOff>
      <xdr:row>45</xdr:row>
      <xdr:rowOff>4396</xdr:rowOff>
    </xdr:from>
    <xdr:to>
      <xdr:col>23</xdr:col>
      <xdr:colOff>76933</xdr:colOff>
      <xdr:row>45</xdr:row>
      <xdr:rowOff>4396</xdr:rowOff>
    </xdr:to>
    <xdr:cxnSp macro="">
      <xdr:nvCxnSpPr>
        <xdr:cNvPr id="34" name="Conector recto 10">
          <a:extLst>
            <a:ext uri="{FF2B5EF4-FFF2-40B4-BE49-F238E27FC236}">
              <a16:creationId xmlns:a16="http://schemas.microsoft.com/office/drawing/2014/main" id="{C2119966-22C2-4674-BB1C-CD02DBD7C3EE}"/>
            </a:ext>
          </a:extLst>
        </xdr:cNvPr>
        <xdr:cNvCxnSpPr/>
      </xdr:nvCxnSpPr>
      <xdr:spPr>
        <a:xfrm>
          <a:off x="3374781" y="8529271"/>
          <a:ext cx="1359877"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168520</xdr:colOff>
      <xdr:row>45</xdr:row>
      <xdr:rowOff>7327</xdr:rowOff>
    </xdr:from>
    <xdr:to>
      <xdr:col>31</xdr:col>
      <xdr:colOff>69607</xdr:colOff>
      <xdr:row>45</xdr:row>
      <xdr:rowOff>7327</xdr:rowOff>
    </xdr:to>
    <xdr:cxnSp macro="">
      <xdr:nvCxnSpPr>
        <xdr:cNvPr id="35" name="Conector recto 10">
          <a:extLst>
            <a:ext uri="{FF2B5EF4-FFF2-40B4-BE49-F238E27FC236}">
              <a16:creationId xmlns:a16="http://schemas.microsoft.com/office/drawing/2014/main" id="{791FA401-DE8F-44AD-9A82-FCDFDCD7EEAC}"/>
            </a:ext>
          </a:extLst>
        </xdr:cNvPr>
        <xdr:cNvCxnSpPr/>
      </xdr:nvCxnSpPr>
      <xdr:spPr>
        <a:xfrm>
          <a:off x="5026270" y="8532202"/>
          <a:ext cx="141556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36</xdr:col>
      <xdr:colOff>95251</xdr:colOff>
      <xdr:row>30</xdr:row>
      <xdr:rowOff>95250</xdr:rowOff>
    </xdr:from>
    <xdr:to>
      <xdr:col>42</xdr:col>
      <xdr:colOff>800100</xdr:colOff>
      <xdr:row>48</xdr:row>
      <xdr:rowOff>76200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171450</xdr:colOff>
      <xdr:row>57</xdr:row>
      <xdr:rowOff>85725</xdr:rowOff>
    </xdr:from>
    <xdr:to>
      <xdr:col>29</xdr:col>
      <xdr:colOff>133350</xdr:colOff>
      <xdr:row>74</xdr:row>
      <xdr:rowOff>95250</xdr:rowOff>
    </xdr:to>
    <xdr:graphicFrame macro="">
      <xdr:nvGraphicFramePr>
        <xdr:cNvPr id="4" name="Gráfico 4">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7" name="Rectangle 4">
          <a:extLst>
            <a:ext uri="{FF2B5EF4-FFF2-40B4-BE49-F238E27FC236}">
              <a16:creationId xmlns:a16="http://schemas.microsoft.com/office/drawing/2014/main" id="{00000000-0008-0000-0C00-000007000000}"/>
            </a:ext>
          </a:extLst>
        </xdr:cNvPr>
        <xdr:cNvSpPr>
          <a:spLocks noChangeArrowheads="1"/>
        </xdr:cNvSpPr>
      </xdr:nvSpPr>
      <xdr:spPr bwMode="auto">
        <a:xfrm>
          <a:off x="9810750" y="1590675"/>
          <a:ext cx="0" cy="161925"/>
        </a:xfrm>
        <a:prstGeom prst="rect">
          <a:avLst/>
        </a:prstGeom>
        <a:noFill/>
        <a:ln w="9525">
          <a:noFill/>
          <a:miter lim="800000"/>
          <a:headEnd/>
          <a:tailEnd/>
        </a:ln>
      </xdr:spPr>
    </xdr:sp>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8" name="Rectangle 5">
          <a:extLst>
            <a:ext uri="{FF2B5EF4-FFF2-40B4-BE49-F238E27FC236}">
              <a16:creationId xmlns:a16="http://schemas.microsoft.com/office/drawing/2014/main" id="{00000000-0008-0000-0C00-000008000000}"/>
            </a:ext>
          </a:extLst>
        </xdr:cNvPr>
        <xdr:cNvSpPr>
          <a:spLocks noChangeArrowheads="1"/>
        </xdr:cNvSpPr>
      </xdr:nvSpPr>
      <xdr:spPr bwMode="auto">
        <a:xfrm>
          <a:off x="9810750" y="1628775"/>
          <a:ext cx="0" cy="161925"/>
        </a:xfrm>
        <a:prstGeom prst="rect">
          <a:avLst/>
        </a:prstGeom>
        <a:noFill/>
        <a:ln w="9525">
          <a:noFill/>
          <a:miter lim="800000"/>
          <a:headEnd/>
          <a:tailEnd/>
        </a:ln>
      </xdr:spPr>
    </xdr:sp>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9" name="Rectangle 6">
          <a:extLst>
            <a:ext uri="{FF2B5EF4-FFF2-40B4-BE49-F238E27FC236}">
              <a16:creationId xmlns:a16="http://schemas.microsoft.com/office/drawing/2014/main" id="{00000000-0008-0000-0C00-000009000000}"/>
            </a:ext>
          </a:extLst>
        </xdr:cNvPr>
        <xdr:cNvSpPr>
          <a:spLocks noChangeArrowheads="1"/>
        </xdr:cNvSpPr>
      </xdr:nvSpPr>
      <xdr:spPr bwMode="auto">
        <a:xfrm>
          <a:off x="9810750" y="1628775"/>
          <a:ext cx="0" cy="161925"/>
        </a:xfrm>
        <a:prstGeom prst="rect">
          <a:avLst/>
        </a:prstGeom>
        <a:noFill/>
        <a:ln w="9525">
          <a:noFill/>
          <a:miter lim="800000"/>
          <a:headEnd/>
          <a:tailEnd/>
        </a:ln>
      </xdr:spPr>
    </xdr:sp>
    <xdr:clientData/>
  </xdr:twoCellAnchor>
  <xdr:twoCellAnchor editAs="oneCell">
    <xdr:from>
      <xdr:col>51</xdr:col>
      <xdr:colOff>104775</xdr:colOff>
      <xdr:row>6</xdr:row>
      <xdr:rowOff>104775</xdr:rowOff>
    </xdr:from>
    <xdr:to>
      <xdr:col>51</xdr:col>
      <xdr:colOff>104775</xdr:colOff>
      <xdr:row>7</xdr:row>
      <xdr:rowOff>161925</xdr:rowOff>
    </xdr:to>
    <xdr:sp macro="" textlink="">
      <xdr:nvSpPr>
        <xdr:cNvPr id="10" name="Rectangle 2">
          <a:extLst>
            <a:ext uri="{FF2B5EF4-FFF2-40B4-BE49-F238E27FC236}">
              <a16:creationId xmlns:a16="http://schemas.microsoft.com/office/drawing/2014/main" id="{00000000-0008-0000-0C00-00000A000000}"/>
            </a:ext>
          </a:extLst>
        </xdr:cNvPr>
        <xdr:cNvSpPr>
          <a:spLocks noChangeArrowheads="1"/>
        </xdr:cNvSpPr>
      </xdr:nvSpPr>
      <xdr:spPr bwMode="auto">
        <a:xfrm>
          <a:off x="17802225" y="1438275"/>
          <a:ext cx="0" cy="228600"/>
        </a:xfrm>
        <a:prstGeom prst="rect">
          <a:avLst/>
        </a:prstGeom>
        <a:noFill/>
        <a:ln w="9525">
          <a:noFill/>
          <a:miter lim="800000"/>
          <a:headEnd/>
          <a:tailEnd/>
        </a:ln>
      </xdr:spPr>
    </xdr:sp>
    <xdr:clientData/>
  </xdr:twoCellAnchor>
  <xdr:twoCellAnchor editAs="oneCell">
    <xdr:from>
      <xdr:col>51</xdr:col>
      <xdr:colOff>180975</xdr:colOff>
      <xdr:row>6</xdr:row>
      <xdr:rowOff>104775</xdr:rowOff>
    </xdr:from>
    <xdr:to>
      <xdr:col>51</xdr:col>
      <xdr:colOff>180975</xdr:colOff>
      <xdr:row>7</xdr:row>
      <xdr:rowOff>161925</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17878425" y="1438275"/>
          <a:ext cx="0" cy="228600"/>
        </a:xfrm>
        <a:prstGeom prst="rect">
          <a:avLst/>
        </a:prstGeom>
        <a:noFill/>
        <a:ln w="9525">
          <a:noFill/>
          <a:miter lim="800000"/>
          <a:headEnd/>
          <a:tailEnd/>
        </a:ln>
      </xdr:spPr>
    </xdr:sp>
    <xdr:clientData/>
  </xdr:twoCellAnchor>
  <xdr:twoCellAnchor editAs="oneCell">
    <xdr:from>
      <xdr:col>44</xdr:col>
      <xdr:colOff>104775</xdr:colOff>
      <xdr:row>9</xdr:row>
      <xdr:rowOff>0</xdr:rowOff>
    </xdr:from>
    <xdr:to>
      <xdr:col>44</xdr:col>
      <xdr:colOff>104775</xdr:colOff>
      <xdr:row>9</xdr:row>
      <xdr:rowOff>161925</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7802225" y="1628775"/>
          <a:ext cx="0" cy="161925"/>
        </a:xfrm>
        <a:prstGeom prst="rect">
          <a:avLst/>
        </a:prstGeom>
        <a:noFill/>
        <a:ln w="9525">
          <a:noFill/>
          <a:miter lim="800000"/>
          <a:headEnd/>
          <a:tailEnd/>
        </a:ln>
      </xdr:spPr>
    </xdr:sp>
    <xdr:clientData/>
  </xdr:twoCellAnchor>
  <xdr:twoCellAnchor editAs="oneCell">
    <xdr:from>
      <xdr:col>51</xdr:col>
      <xdr:colOff>104775</xdr:colOff>
      <xdr:row>6</xdr:row>
      <xdr:rowOff>104775</xdr:rowOff>
    </xdr:from>
    <xdr:to>
      <xdr:col>51</xdr:col>
      <xdr:colOff>104775</xdr:colOff>
      <xdr:row>7</xdr:row>
      <xdr:rowOff>161925</xdr:rowOff>
    </xdr:to>
    <xdr:sp macro="" textlink="">
      <xdr:nvSpPr>
        <xdr:cNvPr id="15" name="Rectangle 2">
          <a:extLst>
            <a:ext uri="{FF2B5EF4-FFF2-40B4-BE49-F238E27FC236}">
              <a16:creationId xmlns:a16="http://schemas.microsoft.com/office/drawing/2014/main" id="{00000000-0008-0000-0C00-00000F000000}"/>
            </a:ext>
          </a:extLst>
        </xdr:cNvPr>
        <xdr:cNvSpPr>
          <a:spLocks noChangeArrowheads="1"/>
        </xdr:cNvSpPr>
      </xdr:nvSpPr>
      <xdr:spPr bwMode="auto">
        <a:xfrm>
          <a:off x="17802225" y="1438275"/>
          <a:ext cx="0" cy="228600"/>
        </a:xfrm>
        <a:prstGeom prst="rect">
          <a:avLst/>
        </a:prstGeom>
        <a:noFill/>
        <a:ln w="9525">
          <a:noFill/>
          <a:miter lim="800000"/>
          <a:headEnd/>
          <a:tailEnd/>
        </a:ln>
      </xdr:spPr>
    </xdr:sp>
    <xdr:clientData/>
  </xdr:twoCellAnchor>
  <xdr:twoCellAnchor editAs="oneCell">
    <xdr:from>
      <xdr:col>51</xdr:col>
      <xdr:colOff>180975</xdr:colOff>
      <xdr:row>6</xdr:row>
      <xdr:rowOff>104775</xdr:rowOff>
    </xdr:from>
    <xdr:to>
      <xdr:col>51</xdr:col>
      <xdr:colOff>180975</xdr:colOff>
      <xdr:row>7</xdr:row>
      <xdr:rowOff>161925</xdr:rowOff>
    </xdr:to>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17878425" y="1438275"/>
          <a:ext cx="0" cy="228600"/>
        </a:xfrm>
        <a:prstGeom prst="rect">
          <a:avLst/>
        </a:prstGeom>
        <a:noFill/>
        <a:ln w="9525">
          <a:noFill/>
          <a:miter lim="800000"/>
          <a:headEnd/>
          <a:tailEnd/>
        </a:ln>
      </xdr:spPr>
    </xdr:sp>
    <xdr:clientData/>
  </xdr:twoCellAnchor>
  <xdr:twoCellAnchor editAs="oneCell">
    <xdr:from>
      <xdr:col>36</xdr:col>
      <xdr:colOff>133350</xdr:colOff>
      <xdr:row>0</xdr:row>
      <xdr:rowOff>51707</xdr:rowOff>
    </xdr:from>
    <xdr:to>
      <xdr:col>36</xdr:col>
      <xdr:colOff>1200150</xdr:colOff>
      <xdr:row>4</xdr:row>
      <xdr:rowOff>133350</xdr:rowOff>
    </xdr:to>
    <xdr:pic>
      <xdr:nvPicPr>
        <xdr:cNvPr id="17" name="Imagen 18">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 cstate="print"/>
        <a:srcRect/>
        <a:stretch>
          <a:fillRect/>
        </a:stretch>
      </xdr:blipFill>
      <xdr:spPr bwMode="auto">
        <a:xfrm>
          <a:off x="8143875" y="51707"/>
          <a:ext cx="1066800" cy="719818"/>
        </a:xfrm>
        <a:prstGeom prst="rect">
          <a:avLst/>
        </a:prstGeom>
        <a:noFill/>
        <a:ln w="9525">
          <a:noFill/>
          <a:miter lim="800000"/>
          <a:headEnd/>
          <a:tailEnd/>
        </a:ln>
      </xdr:spPr>
    </xdr:pic>
    <xdr:clientData/>
  </xdr:twoCellAnchor>
  <xdr:twoCellAnchor editAs="oneCell">
    <xdr:from>
      <xdr:col>43</xdr:col>
      <xdr:colOff>114301</xdr:colOff>
      <xdr:row>0</xdr:row>
      <xdr:rowOff>66676</xdr:rowOff>
    </xdr:from>
    <xdr:to>
      <xdr:col>44</xdr:col>
      <xdr:colOff>466726</xdr:colOff>
      <xdr:row>4</xdr:row>
      <xdr:rowOff>66675</xdr:rowOff>
    </xdr:to>
    <xdr:pic>
      <xdr:nvPicPr>
        <xdr:cNvPr id="18" name="Imagen 19">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 cstate="print"/>
        <a:srcRect/>
        <a:stretch>
          <a:fillRect/>
        </a:stretch>
      </xdr:blipFill>
      <xdr:spPr bwMode="auto">
        <a:xfrm>
          <a:off x="14639926" y="66676"/>
          <a:ext cx="1238250" cy="638174"/>
        </a:xfrm>
        <a:prstGeom prst="rect">
          <a:avLst/>
        </a:prstGeom>
        <a:noFill/>
        <a:ln w="9525">
          <a:noFill/>
          <a:miter lim="800000"/>
          <a:headEnd/>
          <a:tailEnd/>
        </a:ln>
      </xdr:spPr>
    </xdr:pic>
    <xdr:clientData/>
  </xdr:twoCellAnchor>
  <xdr:twoCellAnchor editAs="oneCell">
    <xdr:from>
      <xdr:col>46</xdr:col>
      <xdr:colOff>96610</xdr:colOff>
      <xdr:row>53</xdr:row>
      <xdr:rowOff>28576</xdr:rowOff>
    </xdr:from>
    <xdr:to>
      <xdr:col>47</xdr:col>
      <xdr:colOff>323850</xdr:colOff>
      <xdr:row>54</xdr:row>
      <xdr:rowOff>75196</xdr:rowOff>
    </xdr:to>
    <xdr:pic>
      <xdr:nvPicPr>
        <xdr:cNvPr id="20" name="Imagen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403410" y="8515351"/>
          <a:ext cx="913040" cy="522870"/>
        </a:xfrm>
        <a:prstGeom prst="rect">
          <a:avLst/>
        </a:prstGeom>
      </xdr:spPr>
    </xdr:pic>
    <xdr:clientData/>
  </xdr:twoCellAnchor>
  <xdr:twoCellAnchor editAs="oneCell">
    <xdr:from>
      <xdr:col>48</xdr:col>
      <xdr:colOff>390524</xdr:colOff>
      <xdr:row>53</xdr:row>
      <xdr:rowOff>114300</xdr:rowOff>
    </xdr:from>
    <xdr:to>
      <xdr:col>49</xdr:col>
      <xdr:colOff>209550</xdr:colOff>
      <xdr:row>54</xdr:row>
      <xdr:rowOff>76200</xdr:rowOff>
    </xdr:to>
    <xdr:pic>
      <xdr:nvPicPr>
        <xdr:cNvPr id="22" name="Imagen 21">
          <a:extLst>
            <a:ext uri="{FF2B5EF4-FFF2-40B4-BE49-F238E27FC236}">
              <a16:creationId xmlns:a16="http://schemas.microsoft.com/office/drawing/2014/main" id="{00000000-0008-0000-0C00-000016000000}"/>
            </a:ext>
          </a:extLst>
        </xdr:cNvPr>
        <xdr:cNvPicPr>
          <a:picLocks noChangeAspect="1"/>
        </xdr:cNvPicPr>
      </xdr:nvPicPr>
      <xdr:blipFill rotWithShape="1">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l="20591" t="19659" r="19809" b="20051"/>
        <a:stretch/>
      </xdr:blipFill>
      <xdr:spPr>
        <a:xfrm>
          <a:off x="18068924" y="8601075"/>
          <a:ext cx="933451" cy="438150"/>
        </a:xfrm>
        <a:prstGeom prst="rect">
          <a:avLst/>
        </a:prstGeom>
      </xdr:spPr>
    </xdr:pic>
    <xdr:clientData/>
  </xdr:twoCellAnchor>
  <xdr:twoCellAnchor editAs="oneCell">
    <xdr:from>
      <xdr:col>50</xdr:col>
      <xdr:colOff>522514</xdr:colOff>
      <xdr:row>53</xdr:row>
      <xdr:rowOff>104776</xdr:rowOff>
    </xdr:from>
    <xdr:to>
      <xdr:col>51</xdr:col>
      <xdr:colOff>485943</xdr:colOff>
      <xdr:row>54</xdr:row>
      <xdr:rowOff>92529</xdr:rowOff>
    </xdr:to>
    <xdr:pic>
      <xdr:nvPicPr>
        <xdr:cNvPr id="24" name="Imagen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6"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19820164" y="8591551"/>
          <a:ext cx="544454" cy="464003"/>
        </a:xfrm>
        <a:prstGeom prst="rect">
          <a:avLst/>
        </a:prstGeom>
      </xdr:spPr>
    </xdr:pic>
    <xdr:clientData/>
  </xdr:twoCellAnchor>
  <xdr:twoCellAnchor>
    <xdr:from>
      <xdr:col>37</xdr:col>
      <xdr:colOff>171450</xdr:colOff>
      <xdr:row>54</xdr:row>
      <xdr:rowOff>0</xdr:rowOff>
    </xdr:from>
    <xdr:to>
      <xdr:col>38</xdr:col>
      <xdr:colOff>732093</xdr:colOff>
      <xdr:row>54</xdr:row>
      <xdr:rowOff>0</xdr:rowOff>
    </xdr:to>
    <xdr:cxnSp macro="">
      <xdr:nvCxnSpPr>
        <xdr:cNvPr id="30" name="Conector recto 13">
          <a:extLst>
            <a:ext uri="{FF2B5EF4-FFF2-40B4-BE49-F238E27FC236}">
              <a16:creationId xmlns:a16="http://schemas.microsoft.com/office/drawing/2014/main" id="{00000000-0008-0000-0C00-00001E000000}"/>
            </a:ext>
          </a:extLst>
        </xdr:cNvPr>
        <xdr:cNvCxnSpPr/>
      </xdr:nvCxnSpPr>
      <xdr:spPr>
        <a:xfrm>
          <a:off x="9553575"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152400</xdr:colOff>
      <xdr:row>54</xdr:row>
      <xdr:rowOff>0</xdr:rowOff>
    </xdr:from>
    <xdr:to>
      <xdr:col>40</xdr:col>
      <xdr:colOff>703518</xdr:colOff>
      <xdr:row>54</xdr:row>
      <xdr:rowOff>0</xdr:rowOff>
    </xdr:to>
    <xdr:cxnSp macro="">
      <xdr:nvCxnSpPr>
        <xdr:cNvPr id="31" name="Conector recto 13">
          <a:extLst>
            <a:ext uri="{FF2B5EF4-FFF2-40B4-BE49-F238E27FC236}">
              <a16:creationId xmlns:a16="http://schemas.microsoft.com/office/drawing/2014/main" id="{00000000-0008-0000-0C00-00001F000000}"/>
            </a:ext>
          </a:extLst>
        </xdr:cNvPr>
        <xdr:cNvCxnSpPr/>
      </xdr:nvCxnSpPr>
      <xdr:spPr>
        <a:xfrm>
          <a:off x="11277600"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152400</xdr:colOff>
      <xdr:row>54</xdr:row>
      <xdr:rowOff>0</xdr:rowOff>
    </xdr:from>
    <xdr:to>
      <xdr:col>42</xdr:col>
      <xdr:colOff>713043</xdr:colOff>
      <xdr:row>54</xdr:row>
      <xdr:rowOff>0</xdr:rowOff>
    </xdr:to>
    <xdr:cxnSp macro="">
      <xdr:nvCxnSpPr>
        <xdr:cNvPr id="34" name="Conector recto 13">
          <a:extLst>
            <a:ext uri="{FF2B5EF4-FFF2-40B4-BE49-F238E27FC236}">
              <a16:creationId xmlns:a16="http://schemas.microsoft.com/office/drawing/2014/main" id="{00000000-0008-0000-0C00-000022000000}"/>
            </a:ext>
          </a:extLst>
        </xdr:cNvPr>
        <xdr:cNvCxnSpPr/>
      </xdr:nvCxnSpPr>
      <xdr:spPr>
        <a:xfrm>
          <a:off x="12982575"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29</xdr:row>
      <xdr:rowOff>85725</xdr:rowOff>
    </xdr:from>
    <xdr:to>
      <xdr:col>47</xdr:col>
      <xdr:colOff>619125</xdr:colOff>
      <xdr:row>48</xdr:row>
      <xdr:rowOff>114300</xdr:rowOff>
    </xdr:to>
    <xdr:graphicFrame macro="">
      <xdr:nvGraphicFramePr>
        <xdr:cNvPr id="28" name="Gráfico 2">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39</xdr:col>
          <xdr:colOff>0</xdr:colOff>
          <xdr:row>53</xdr:row>
          <xdr:rowOff>0</xdr:rowOff>
        </xdr:from>
        <xdr:to>
          <xdr:col>40</xdr:col>
          <xdr:colOff>742950</xdr:colOff>
          <xdr:row>54</xdr:row>
          <xdr:rowOff>0</xdr:rowOff>
        </xdr:to>
        <xdr:pic>
          <xdr:nvPicPr>
            <xdr:cNvPr id="10243" name="Picture 3">
              <a:extLst>
                <a:ext uri="{FF2B5EF4-FFF2-40B4-BE49-F238E27FC236}">
                  <a16:creationId xmlns:a16="http://schemas.microsoft.com/office/drawing/2014/main" id="{00000000-0008-0000-0C00-000003280000}"/>
                </a:ext>
              </a:extLst>
            </xdr:cNvPr>
            <xdr:cNvPicPr>
              <a:picLocks noChangeAspect="1"/>
              <a:extLst>
                <a:ext uri="{84589F7E-364E-4C9E-8A38-B11213B215E9}">
                  <a14:cameraTool cellRange="revisofirmas13" spid="_x0000_s197684"/>
                </a:ext>
              </a:extLst>
            </xdr:cNvPicPr>
          </xdr:nvPicPr>
          <xdr:blipFill>
            <a:blip xmlns:r="http://schemas.openxmlformats.org/officeDocument/2006/relationships" r:embed="rId8"/>
            <a:srcRect/>
            <a:stretch>
              <a:fillRect/>
            </a:stretch>
          </xdr:blipFill>
          <xdr:spPr bwMode="auto">
            <a:xfrm>
              <a:off x="11125200" y="8077200"/>
              <a:ext cx="16954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53</xdr:row>
          <xdr:rowOff>9525</xdr:rowOff>
        </xdr:from>
        <xdr:to>
          <xdr:col>43</xdr:col>
          <xdr:colOff>66675</xdr:colOff>
          <xdr:row>54</xdr:row>
          <xdr:rowOff>0</xdr:rowOff>
        </xdr:to>
        <xdr:pic>
          <xdr:nvPicPr>
            <xdr:cNvPr id="10244" name="Picture 4">
              <a:extLst>
                <a:ext uri="{FF2B5EF4-FFF2-40B4-BE49-F238E27FC236}">
                  <a16:creationId xmlns:a16="http://schemas.microsoft.com/office/drawing/2014/main" id="{00000000-0008-0000-0C00-000004280000}"/>
                </a:ext>
              </a:extLst>
            </xdr:cNvPr>
            <xdr:cNvPicPr>
              <a:picLocks noChangeAspect="1"/>
              <a:extLst>
                <a:ext uri="{84589F7E-364E-4C9E-8A38-B11213B215E9}">
                  <a14:cameraTool cellRange="aprobofirmas13" spid="_x0000_s197685"/>
                </a:ext>
              </a:extLst>
            </xdr:cNvPicPr>
          </xdr:nvPicPr>
          <xdr:blipFill>
            <a:blip xmlns:r="http://schemas.openxmlformats.org/officeDocument/2006/relationships" r:embed="rId9"/>
            <a:srcRect/>
            <a:stretch>
              <a:fillRect/>
            </a:stretch>
          </xdr:blipFill>
          <xdr:spPr bwMode="auto">
            <a:xfrm>
              <a:off x="12830175" y="8086725"/>
              <a:ext cx="1676400" cy="4667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53</xdr:row>
          <xdr:rowOff>0</xdr:rowOff>
        </xdr:from>
        <xdr:to>
          <xdr:col>38</xdr:col>
          <xdr:colOff>876300</xdr:colOff>
          <xdr:row>53</xdr:row>
          <xdr:rowOff>466725</xdr:rowOff>
        </xdr:to>
        <xdr:pic>
          <xdr:nvPicPr>
            <xdr:cNvPr id="10245" name="Picture 5">
              <a:extLst>
                <a:ext uri="{FF2B5EF4-FFF2-40B4-BE49-F238E27FC236}">
                  <a16:creationId xmlns:a16="http://schemas.microsoft.com/office/drawing/2014/main" id="{00000000-0008-0000-0C00-000005280000}"/>
                </a:ext>
              </a:extLst>
            </xdr:cNvPr>
            <xdr:cNvPicPr>
              <a:picLocks noChangeAspect="1"/>
              <a:extLst>
                <a:ext uri="{84589F7E-364E-4C9E-8A38-B11213B215E9}">
                  <a14:cameraTool cellRange="elaborofirmas13" spid="_x0000_s197686"/>
                </a:ext>
              </a:extLst>
            </xdr:cNvPicPr>
          </xdr:nvPicPr>
          <xdr:blipFill>
            <a:blip xmlns:r="http://schemas.openxmlformats.org/officeDocument/2006/relationships" r:embed="rId10"/>
            <a:srcRect/>
            <a:stretch>
              <a:fillRect/>
            </a:stretch>
          </xdr:blipFill>
          <xdr:spPr bwMode="auto">
            <a:xfrm>
              <a:off x="9382125" y="8077200"/>
              <a:ext cx="1724025" cy="466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c:userShapes xmlns:c="http://schemas.openxmlformats.org/drawingml/2006/chart">
  <cdr:relSizeAnchor xmlns:cdr="http://schemas.openxmlformats.org/drawingml/2006/chartDrawing">
    <cdr:from>
      <cdr:x>0.49879</cdr:x>
      <cdr:y>0.54356</cdr:y>
    </cdr:from>
    <cdr:to>
      <cdr:x>0.57375</cdr:x>
      <cdr:y>0.66558</cdr:y>
    </cdr:to>
    <cdr:sp macro="" textlink="">
      <cdr:nvSpPr>
        <cdr:cNvPr id="128001" name="Text Box 1"/>
        <cdr:cNvSpPr txBox="1">
          <a:spLocks xmlns:a="http://schemas.openxmlformats.org/drawingml/2006/main" noChangeArrowheads="1"/>
        </cdr:cNvSpPr>
      </cdr:nvSpPr>
      <cdr:spPr bwMode="auto">
        <a:xfrm xmlns:a="http://schemas.openxmlformats.org/drawingml/2006/main">
          <a:off x="1815568" y="1627557"/>
          <a:ext cx="271367" cy="3674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0" rIns="0" bIns="0" anchor="ctr" upright="1"/>
        <a:lstStyle xmlns:a="http://schemas.openxmlformats.org/drawingml/2006/main"/>
        <a:p xmlns:a="http://schemas.openxmlformats.org/drawingml/2006/main">
          <a:endParaRPr lang="es-CO"/>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76199</xdr:colOff>
      <xdr:row>29</xdr:row>
      <xdr:rowOff>85726</xdr:rowOff>
    </xdr:from>
    <xdr:to>
      <xdr:col>3</xdr:col>
      <xdr:colOff>742950</xdr:colOff>
      <xdr:row>48</xdr:row>
      <xdr:rowOff>104775</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0</xdr:colOff>
      <xdr:row>9</xdr:row>
      <xdr:rowOff>0</xdr:rowOff>
    </xdr:from>
    <xdr:to>
      <xdr:col>0</xdr:col>
      <xdr:colOff>0</xdr:colOff>
      <xdr:row>9</xdr:row>
      <xdr:rowOff>161925</xdr:rowOff>
    </xdr:to>
    <xdr:sp macro="" textlink="">
      <xdr:nvSpPr>
        <xdr:cNvPr id="5" name="Rectangle 4">
          <a:extLst>
            <a:ext uri="{FF2B5EF4-FFF2-40B4-BE49-F238E27FC236}">
              <a16:creationId xmlns:a16="http://schemas.microsoft.com/office/drawing/2014/main" id="{00000000-0008-0000-0D00-000005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0</xdr:col>
      <xdr:colOff>0</xdr:colOff>
      <xdr:row>9</xdr:row>
      <xdr:rowOff>0</xdr:rowOff>
    </xdr:from>
    <xdr:to>
      <xdr:col>0</xdr:col>
      <xdr:colOff>0</xdr:colOff>
      <xdr:row>9</xdr:row>
      <xdr:rowOff>161925</xdr:rowOff>
    </xdr:to>
    <xdr:sp macro="" textlink="">
      <xdr:nvSpPr>
        <xdr:cNvPr id="6" name="Rectangle 5">
          <a:extLst>
            <a:ext uri="{FF2B5EF4-FFF2-40B4-BE49-F238E27FC236}">
              <a16:creationId xmlns:a16="http://schemas.microsoft.com/office/drawing/2014/main" id="{00000000-0008-0000-0D00-000006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0</xdr:col>
      <xdr:colOff>0</xdr:colOff>
      <xdr:row>9</xdr:row>
      <xdr:rowOff>0</xdr:rowOff>
    </xdr:from>
    <xdr:to>
      <xdr:col>0</xdr:col>
      <xdr:colOff>0</xdr:colOff>
      <xdr:row>9</xdr:row>
      <xdr:rowOff>161925</xdr:rowOff>
    </xdr:to>
    <xdr:sp macro="" textlink="">
      <xdr:nvSpPr>
        <xdr:cNvPr id="7" name="Rectangle 6">
          <a:extLst>
            <a:ext uri="{FF2B5EF4-FFF2-40B4-BE49-F238E27FC236}">
              <a16:creationId xmlns:a16="http://schemas.microsoft.com/office/drawing/2014/main" id="{00000000-0008-0000-0D00-000007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8</xdr:col>
      <xdr:colOff>285750</xdr:colOff>
      <xdr:row>6</xdr:row>
      <xdr:rowOff>28575</xdr:rowOff>
    </xdr:from>
    <xdr:to>
      <xdr:col>8</xdr:col>
      <xdr:colOff>285750</xdr:colOff>
      <xdr:row>7</xdr:row>
      <xdr:rowOff>85725</xdr:rowOff>
    </xdr:to>
    <xdr:sp macro="" textlink="">
      <xdr:nvSpPr>
        <xdr:cNvPr id="8" name="Rectangle 2">
          <a:extLst>
            <a:ext uri="{FF2B5EF4-FFF2-40B4-BE49-F238E27FC236}">
              <a16:creationId xmlns:a16="http://schemas.microsoft.com/office/drawing/2014/main" id="{00000000-0008-0000-0D00-000008000000}"/>
            </a:ext>
          </a:extLst>
        </xdr:cNvPr>
        <xdr:cNvSpPr>
          <a:spLocks noChangeArrowheads="1"/>
        </xdr:cNvSpPr>
      </xdr:nvSpPr>
      <xdr:spPr bwMode="auto">
        <a:xfrm>
          <a:off x="6724650" y="1038225"/>
          <a:ext cx="0" cy="228600"/>
        </a:xfrm>
        <a:prstGeom prst="rect">
          <a:avLst/>
        </a:prstGeom>
        <a:noFill/>
        <a:ln w="9525">
          <a:noFill/>
          <a:miter lim="800000"/>
          <a:headEnd/>
          <a:tailEnd/>
        </a:ln>
      </xdr:spPr>
    </xdr:sp>
    <xdr:clientData/>
  </xdr:twoCellAnchor>
  <xdr:twoCellAnchor editAs="oneCell">
    <xdr:from>
      <xdr:col>7</xdr:col>
      <xdr:colOff>495300</xdr:colOff>
      <xdr:row>8</xdr:row>
      <xdr:rowOff>36192</xdr:rowOff>
    </xdr:from>
    <xdr:to>
      <xdr:col>8</xdr:col>
      <xdr:colOff>0</xdr:colOff>
      <xdr:row>15</xdr:row>
      <xdr:rowOff>57149</xdr:rowOff>
    </xdr:to>
    <xdr:sp macro="" textlink="">
      <xdr:nvSpPr>
        <xdr:cNvPr id="9" name="Rectangle 3">
          <a:extLst>
            <a:ext uri="{FF2B5EF4-FFF2-40B4-BE49-F238E27FC236}">
              <a16:creationId xmlns:a16="http://schemas.microsoft.com/office/drawing/2014/main" id="{00000000-0008-0000-0D00-000009000000}"/>
            </a:ext>
          </a:extLst>
        </xdr:cNvPr>
        <xdr:cNvSpPr>
          <a:spLocks noChangeArrowheads="1"/>
        </xdr:cNvSpPr>
      </xdr:nvSpPr>
      <xdr:spPr bwMode="auto">
        <a:xfrm>
          <a:off x="6153150" y="1388742"/>
          <a:ext cx="285750" cy="1230632"/>
        </a:xfrm>
        <a:prstGeom prst="rect">
          <a:avLst/>
        </a:prstGeom>
        <a:noFill/>
        <a:ln w="9525">
          <a:noFill/>
          <a:miter lim="800000"/>
          <a:headEnd/>
          <a:tailEnd/>
        </a:ln>
      </xdr:spPr>
    </xdr:sp>
    <xdr:clientData/>
  </xdr:twoCellAnchor>
  <xdr:twoCellAnchor editAs="oneCell">
    <xdr:from>
      <xdr:col>1</xdr:col>
      <xdr:colOff>104775</xdr:colOff>
      <xdr:row>9</xdr:row>
      <xdr:rowOff>0</xdr:rowOff>
    </xdr:from>
    <xdr:to>
      <xdr:col>1</xdr:col>
      <xdr:colOff>104775</xdr:colOff>
      <xdr:row>9</xdr:row>
      <xdr:rowOff>161925</xdr:rowOff>
    </xdr:to>
    <xdr:sp macro="" textlink="">
      <xdr:nvSpPr>
        <xdr:cNvPr id="10" name="Rectangle 6">
          <a:extLst>
            <a:ext uri="{FF2B5EF4-FFF2-40B4-BE49-F238E27FC236}">
              <a16:creationId xmlns:a16="http://schemas.microsoft.com/office/drawing/2014/main" id="{00000000-0008-0000-0D00-00000A000000}"/>
            </a:ext>
          </a:extLst>
        </xdr:cNvPr>
        <xdr:cNvSpPr>
          <a:spLocks noChangeArrowheads="1"/>
        </xdr:cNvSpPr>
      </xdr:nvSpPr>
      <xdr:spPr bwMode="auto">
        <a:xfrm>
          <a:off x="15516225" y="1638300"/>
          <a:ext cx="0" cy="161925"/>
        </a:xfrm>
        <a:prstGeom prst="rect">
          <a:avLst/>
        </a:prstGeom>
        <a:noFill/>
        <a:ln w="9525">
          <a:noFill/>
          <a:miter lim="800000"/>
          <a:headEnd/>
          <a:tailEnd/>
        </a:ln>
      </xdr:spPr>
    </xdr:sp>
    <xdr:clientData/>
  </xdr:twoCellAnchor>
  <xdr:twoCellAnchor editAs="oneCell">
    <xdr:from>
      <xdr:col>0</xdr:col>
      <xdr:colOff>219076</xdr:colOff>
      <xdr:row>0</xdr:row>
      <xdr:rowOff>28576</xdr:rowOff>
    </xdr:from>
    <xdr:to>
      <xdr:col>1</xdr:col>
      <xdr:colOff>638176</xdr:colOff>
      <xdr:row>4</xdr:row>
      <xdr:rowOff>142875</xdr:rowOff>
    </xdr:to>
    <xdr:pic>
      <xdr:nvPicPr>
        <xdr:cNvPr id="14" name="Imagen 19">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2" cstate="print"/>
        <a:srcRect/>
        <a:stretch>
          <a:fillRect/>
        </a:stretch>
      </xdr:blipFill>
      <xdr:spPr bwMode="auto">
        <a:xfrm>
          <a:off x="219076" y="28576"/>
          <a:ext cx="1238250" cy="790574"/>
        </a:xfrm>
        <a:prstGeom prst="rect">
          <a:avLst/>
        </a:prstGeom>
        <a:noFill/>
        <a:ln w="9525">
          <a:noFill/>
          <a:miter lim="800000"/>
          <a:headEnd/>
          <a:tailEnd/>
        </a:ln>
      </xdr:spPr>
    </xdr:pic>
    <xdr:clientData/>
  </xdr:twoCellAnchor>
  <xdr:twoCellAnchor>
    <xdr:from>
      <xdr:col>8</xdr:col>
      <xdr:colOff>914400</xdr:colOff>
      <xdr:row>47</xdr:row>
      <xdr:rowOff>123825</xdr:rowOff>
    </xdr:from>
    <xdr:to>
      <xdr:col>10</xdr:col>
      <xdr:colOff>750275</xdr:colOff>
      <xdr:row>47</xdr:row>
      <xdr:rowOff>125289</xdr:rowOff>
    </xdr:to>
    <xdr:cxnSp macro="">
      <xdr:nvCxnSpPr>
        <xdr:cNvPr id="24" name="Conector recto 23">
          <a:extLst>
            <a:ext uri="{FF2B5EF4-FFF2-40B4-BE49-F238E27FC236}">
              <a16:creationId xmlns:a16="http://schemas.microsoft.com/office/drawing/2014/main" id="{00000000-0008-0000-0D00-000018000000}"/>
            </a:ext>
          </a:extLst>
        </xdr:cNvPr>
        <xdr:cNvCxnSpPr/>
      </xdr:nvCxnSpPr>
      <xdr:spPr>
        <a:xfrm flipV="1">
          <a:off x="21983700" y="7867650"/>
          <a:ext cx="1683725" cy="14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104775</xdr:colOff>
      <xdr:row>5</xdr:row>
      <xdr:rowOff>104775</xdr:rowOff>
    </xdr:from>
    <xdr:to>
      <xdr:col>6</xdr:col>
      <xdr:colOff>104775</xdr:colOff>
      <xdr:row>6</xdr:row>
      <xdr:rowOff>161925</xdr:rowOff>
    </xdr:to>
    <xdr:sp macro="" textlink="">
      <xdr:nvSpPr>
        <xdr:cNvPr id="25" name="Rectangle 2">
          <a:extLst>
            <a:ext uri="{FF2B5EF4-FFF2-40B4-BE49-F238E27FC236}">
              <a16:creationId xmlns:a16="http://schemas.microsoft.com/office/drawing/2014/main" id="{00000000-0008-0000-0D00-000019000000}"/>
            </a:ext>
          </a:extLst>
        </xdr:cNvPr>
        <xdr:cNvSpPr>
          <a:spLocks noChangeArrowheads="1"/>
        </xdr:cNvSpPr>
      </xdr:nvSpPr>
      <xdr:spPr bwMode="auto">
        <a:xfrm>
          <a:off x="20059650" y="1228725"/>
          <a:ext cx="0" cy="228600"/>
        </a:xfrm>
        <a:prstGeom prst="rect">
          <a:avLst/>
        </a:prstGeom>
        <a:noFill/>
        <a:ln w="9525">
          <a:noFill/>
          <a:miter lim="800000"/>
          <a:headEnd/>
          <a:tailEnd/>
        </a:ln>
      </xdr:spPr>
    </xdr:sp>
    <xdr:clientData/>
  </xdr:twoCellAnchor>
  <xdr:twoCellAnchor editAs="oneCell">
    <xdr:from>
      <xdr:col>6</xdr:col>
      <xdr:colOff>180975</xdr:colOff>
      <xdr:row>5</xdr:row>
      <xdr:rowOff>104775</xdr:rowOff>
    </xdr:from>
    <xdr:to>
      <xdr:col>6</xdr:col>
      <xdr:colOff>180975</xdr:colOff>
      <xdr:row>6</xdr:row>
      <xdr:rowOff>161925</xdr:rowOff>
    </xdr:to>
    <xdr:sp macro="" textlink="">
      <xdr:nvSpPr>
        <xdr:cNvPr id="26" name="Rectangle 3">
          <a:extLst>
            <a:ext uri="{FF2B5EF4-FFF2-40B4-BE49-F238E27FC236}">
              <a16:creationId xmlns:a16="http://schemas.microsoft.com/office/drawing/2014/main" id="{00000000-0008-0000-0D00-00001A000000}"/>
            </a:ext>
          </a:extLst>
        </xdr:cNvPr>
        <xdr:cNvSpPr>
          <a:spLocks noChangeArrowheads="1"/>
        </xdr:cNvSpPr>
      </xdr:nvSpPr>
      <xdr:spPr bwMode="auto">
        <a:xfrm>
          <a:off x="20135850" y="1228725"/>
          <a:ext cx="0" cy="228600"/>
        </a:xfrm>
        <a:prstGeom prst="rect">
          <a:avLst/>
        </a:prstGeom>
        <a:noFill/>
        <a:ln w="9525">
          <a:noFill/>
          <a:miter lim="800000"/>
          <a:headEnd/>
          <a:tailEnd/>
        </a:ln>
      </xdr:spPr>
    </xdr:sp>
    <xdr:clientData/>
  </xdr:twoCellAnchor>
  <xdr:twoCellAnchor editAs="oneCell">
    <xdr:from>
      <xdr:col>6</xdr:col>
      <xdr:colOff>104775</xdr:colOff>
      <xdr:row>5</xdr:row>
      <xdr:rowOff>104775</xdr:rowOff>
    </xdr:from>
    <xdr:to>
      <xdr:col>6</xdr:col>
      <xdr:colOff>104775</xdr:colOff>
      <xdr:row>6</xdr:row>
      <xdr:rowOff>161925</xdr:rowOff>
    </xdr:to>
    <xdr:sp macro="" textlink="">
      <xdr:nvSpPr>
        <xdr:cNvPr id="27" name="Rectangle 2">
          <a:extLst>
            <a:ext uri="{FF2B5EF4-FFF2-40B4-BE49-F238E27FC236}">
              <a16:creationId xmlns:a16="http://schemas.microsoft.com/office/drawing/2014/main" id="{00000000-0008-0000-0D00-00001B000000}"/>
            </a:ext>
          </a:extLst>
        </xdr:cNvPr>
        <xdr:cNvSpPr>
          <a:spLocks noChangeArrowheads="1"/>
        </xdr:cNvSpPr>
      </xdr:nvSpPr>
      <xdr:spPr bwMode="auto">
        <a:xfrm>
          <a:off x="20059650" y="1228725"/>
          <a:ext cx="0" cy="228600"/>
        </a:xfrm>
        <a:prstGeom prst="rect">
          <a:avLst/>
        </a:prstGeom>
        <a:noFill/>
        <a:ln w="9525">
          <a:noFill/>
          <a:miter lim="800000"/>
          <a:headEnd/>
          <a:tailEnd/>
        </a:ln>
      </xdr:spPr>
    </xdr:sp>
    <xdr:clientData/>
  </xdr:twoCellAnchor>
  <xdr:twoCellAnchor editAs="oneCell">
    <xdr:from>
      <xdr:col>6</xdr:col>
      <xdr:colOff>180975</xdr:colOff>
      <xdr:row>5</xdr:row>
      <xdr:rowOff>104775</xdr:rowOff>
    </xdr:from>
    <xdr:to>
      <xdr:col>6</xdr:col>
      <xdr:colOff>180975</xdr:colOff>
      <xdr:row>6</xdr:row>
      <xdr:rowOff>161925</xdr:rowOff>
    </xdr:to>
    <xdr:sp macro="" textlink="">
      <xdr:nvSpPr>
        <xdr:cNvPr id="28" name="Rectangle 3">
          <a:extLst>
            <a:ext uri="{FF2B5EF4-FFF2-40B4-BE49-F238E27FC236}">
              <a16:creationId xmlns:a16="http://schemas.microsoft.com/office/drawing/2014/main" id="{00000000-0008-0000-0D00-00001C000000}"/>
            </a:ext>
          </a:extLst>
        </xdr:cNvPr>
        <xdr:cNvSpPr>
          <a:spLocks noChangeArrowheads="1"/>
        </xdr:cNvSpPr>
      </xdr:nvSpPr>
      <xdr:spPr bwMode="auto">
        <a:xfrm>
          <a:off x="20135850" y="1228725"/>
          <a:ext cx="0" cy="228600"/>
        </a:xfrm>
        <a:prstGeom prst="rect">
          <a:avLst/>
        </a:prstGeom>
        <a:noFill/>
        <a:ln w="9525">
          <a:noFill/>
          <a:miter lim="800000"/>
          <a:headEnd/>
          <a:tailEnd/>
        </a:ln>
      </xdr:spPr>
    </xdr:sp>
    <xdr:clientData/>
  </xdr:twoCellAnchor>
  <xdr:twoCellAnchor editAs="oneCell">
    <xdr:from>
      <xdr:col>6</xdr:col>
      <xdr:colOff>619125</xdr:colOff>
      <xdr:row>1</xdr:row>
      <xdr:rowOff>85725</xdr:rowOff>
    </xdr:from>
    <xdr:to>
      <xdr:col>6</xdr:col>
      <xdr:colOff>619125</xdr:colOff>
      <xdr:row>2</xdr:row>
      <xdr:rowOff>142875</xdr:rowOff>
    </xdr:to>
    <xdr:sp macro="" textlink="">
      <xdr:nvSpPr>
        <xdr:cNvPr id="31" name="Rectangle 2">
          <a:extLst>
            <a:ext uri="{FF2B5EF4-FFF2-40B4-BE49-F238E27FC236}">
              <a16:creationId xmlns:a16="http://schemas.microsoft.com/office/drawing/2014/main" id="{00000000-0008-0000-0D00-00001F000000}"/>
            </a:ext>
          </a:extLst>
        </xdr:cNvPr>
        <xdr:cNvSpPr>
          <a:spLocks noChangeArrowheads="1"/>
        </xdr:cNvSpPr>
      </xdr:nvSpPr>
      <xdr:spPr bwMode="auto">
        <a:xfrm>
          <a:off x="5495925" y="257175"/>
          <a:ext cx="0" cy="228600"/>
        </a:xfrm>
        <a:prstGeom prst="rect">
          <a:avLst/>
        </a:prstGeom>
        <a:noFill/>
        <a:ln w="9525">
          <a:noFill/>
          <a:miter lim="800000"/>
          <a:headEnd/>
          <a:tailEnd/>
        </a:ln>
      </xdr:spPr>
    </xdr:sp>
    <xdr:clientData/>
  </xdr:twoCellAnchor>
  <xdr:twoCellAnchor>
    <xdr:from>
      <xdr:col>2</xdr:col>
      <xdr:colOff>95250</xdr:colOff>
      <xdr:row>54</xdr:row>
      <xdr:rowOff>28575</xdr:rowOff>
    </xdr:from>
    <xdr:to>
      <xdr:col>3</xdr:col>
      <xdr:colOff>684468</xdr:colOff>
      <xdr:row>54</xdr:row>
      <xdr:rowOff>28575</xdr:rowOff>
    </xdr:to>
    <xdr:cxnSp macro="">
      <xdr:nvCxnSpPr>
        <xdr:cNvPr id="33" name="Conector recto 13">
          <a:extLst>
            <a:ext uri="{FF2B5EF4-FFF2-40B4-BE49-F238E27FC236}">
              <a16:creationId xmlns:a16="http://schemas.microsoft.com/office/drawing/2014/main" id="{00000000-0008-0000-0D00-000021000000}"/>
            </a:ext>
          </a:extLst>
        </xdr:cNvPr>
        <xdr:cNvCxnSpPr/>
      </xdr:nvCxnSpPr>
      <xdr:spPr>
        <a:xfrm>
          <a:off x="1733550" y="86391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104775</xdr:colOff>
      <xdr:row>54</xdr:row>
      <xdr:rowOff>0</xdr:rowOff>
    </xdr:from>
    <xdr:to>
      <xdr:col>5</xdr:col>
      <xdr:colOff>693993</xdr:colOff>
      <xdr:row>54</xdr:row>
      <xdr:rowOff>0</xdr:rowOff>
    </xdr:to>
    <xdr:cxnSp macro="">
      <xdr:nvCxnSpPr>
        <xdr:cNvPr id="34" name="Conector recto 13">
          <a:extLst>
            <a:ext uri="{FF2B5EF4-FFF2-40B4-BE49-F238E27FC236}">
              <a16:creationId xmlns:a16="http://schemas.microsoft.com/office/drawing/2014/main" id="{00000000-0008-0000-0D00-000022000000}"/>
            </a:ext>
          </a:extLst>
        </xdr:cNvPr>
        <xdr:cNvCxnSpPr/>
      </xdr:nvCxnSpPr>
      <xdr:spPr>
        <a:xfrm>
          <a:off x="3381375" y="8610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53</xdr:row>
      <xdr:rowOff>466725</xdr:rowOff>
    </xdr:from>
    <xdr:to>
      <xdr:col>7</xdr:col>
      <xdr:colOff>703518</xdr:colOff>
      <xdr:row>53</xdr:row>
      <xdr:rowOff>466725</xdr:rowOff>
    </xdr:to>
    <xdr:cxnSp macro="">
      <xdr:nvCxnSpPr>
        <xdr:cNvPr id="35" name="Conector recto 13">
          <a:extLst>
            <a:ext uri="{FF2B5EF4-FFF2-40B4-BE49-F238E27FC236}">
              <a16:creationId xmlns:a16="http://schemas.microsoft.com/office/drawing/2014/main" id="{00000000-0008-0000-0D00-000023000000}"/>
            </a:ext>
          </a:extLst>
        </xdr:cNvPr>
        <xdr:cNvCxnSpPr/>
      </xdr:nvCxnSpPr>
      <xdr:spPr>
        <a:xfrm>
          <a:off x="4991100" y="8601075"/>
          <a:ext cx="13702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47625</xdr:rowOff>
        </xdr:from>
        <xdr:to>
          <xdr:col>5</xdr:col>
          <xdr:colOff>714375</xdr:colOff>
          <xdr:row>53</xdr:row>
          <xdr:rowOff>438150</xdr:rowOff>
        </xdr:to>
        <xdr:pic>
          <xdr:nvPicPr>
            <xdr:cNvPr id="28676" name="Picture 4">
              <a:extLst>
                <a:ext uri="{FF2B5EF4-FFF2-40B4-BE49-F238E27FC236}">
                  <a16:creationId xmlns:a16="http://schemas.microsoft.com/office/drawing/2014/main" id="{00000000-0008-0000-0D00-000004700000}"/>
                </a:ext>
              </a:extLst>
            </xdr:cNvPr>
            <xdr:cNvPicPr>
              <a:picLocks noChangeAspect="1"/>
              <a:extLst>
                <a:ext uri="{84589F7E-364E-4C9E-8A38-B11213B215E9}">
                  <a14:cameraTool cellRange="revisofirmas14" spid="_x0000_s198705"/>
                </a:ext>
              </a:extLst>
            </xdr:cNvPicPr>
          </xdr:nvPicPr>
          <xdr:blipFill>
            <a:blip xmlns:r="http://schemas.openxmlformats.org/officeDocument/2006/relationships" r:embed="rId3"/>
            <a:srcRect/>
            <a:stretch>
              <a:fillRect/>
            </a:stretch>
          </xdr:blipFill>
          <xdr:spPr bwMode="auto">
            <a:xfrm>
              <a:off x="3276600" y="8181975"/>
              <a:ext cx="1533525" cy="390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19050</xdr:rowOff>
        </xdr:from>
        <xdr:to>
          <xdr:col>8</xdr:col>
          <xdr:colOff>28575</xdr:colOff>
          <xdr:row>53</xdr:row>
          <xdr:rowOff>409575</xdr:rowOff>
        </xdr:to>
        <xdr:pic>
          <xdr:nvPicPr>
            <xdr:cNvPr id="28677" name="Picture 5">
              <a:extLst>
                <a:ext uri="{FF2B5EF4-FFF2-40B4-BE49-F238E27FC236}">
                  <a16:creationId xmlns:a16="http://schemas.microsoft.com/office/drawing/2014/main" id="{00000000-0008-0000-0D00-000005700000}"/>
                </a:ext>
              </a:extLst>
            </xdr:cNvPr>
            <xdr:cNvPicPr>
              <a:picLocks noChangeAspect="1"/>
              <a:extLst>
                <a:ext uri="{84589F7E-364E-4C9E-8A38-B11213B215E9}">
                  <a14:cameraTool cellRange="aprobofirmas14" spid="_x0000_s198706"/>
                </a:ext>
              </a:extLst>
            </xdr:cNvPicPr>
          </xdr:nvPicPr>
          <xdr:blipFill>
            <a:blip xmlns:r="http://schemas.openxmlformats.org/officeDocument/2006/relationships" r:embed="rId4"/>
            <a:srcRect/>
            <a:stretch>
              <a:fillRect/>
            </a:stretch>
          </xdr:blipFill>
          <xdr:spPr bwMode="auto">
            <a:xfrm>
              <a:off x="4876800" y="8153400"/>
              <a:ext cx="1590675" cy="390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57150</xdr:rowOff>
        </xdr:from>
        <xdr:to>
          <xdr:col>3</xdr:col>
          <xdr:colOff>800100</xdr:colOff>
          <xdr:row>53</xdr:row>
          <xdr:rowOff>447675</xdr:rowOff>
        </xdr:to>
        <xdr:pic>
          <xdr:nvPicPr>
            <xdr:cNvPr id="28678" name="Picture 6">
              <a:extLst>
                <a:ext uri="{FF2B5EF4-FFF2-40B4-BE49-F238E27FC236}">
                  <a16:creationId xmlns:a16="http://schemas.microsoft.com/office/drawing/2014/main" id="{00000000-0008-0000-0D00-000006700000}"/>
                </a:ext>
              </a:extLst>
            </xdr:cNvPr>
            <xdr:cNvPicPr>
              <a:picLocks noChangeAspect="1"/>
              <a:extLst>
                <a:ext uri="{84589F7E-364E-4C9E-8A38-B11213B215E9}">
                  <a14:cameraTool cellRange="elaborofirmas14" spid="_x0000_s198707"/>
                </a:ext>
              </a:extLst>
            </xdr:cNvPicPr>
          </xdr:nvPicPr>
          <xdr:blipFill>
            <a:blip xmlns:r="http://schemas.openxmlformats.org/officeDocument/2006/relationships" r:embed="rId5"/>
            <a:srcRect/>
            <a:stretch>
              <a:fillRect/>
            </a:stretch>
          </xdr:blipFill>
          <xdr:spPr bwMode="auto">
            <a:xfrm>
              <a:off x="1647825" y="8191500"/>
              <a:ext cx="1609725" cy="3905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3.xml><?xml version="1.0" encoding="utf-8"?>
<c:userShapes xmlns:c="http://schemas.openxmlformats.org/drawingml/2006/chart">
  <cdr:relSizeAnchor xmlns:cdr="http://schemas.openxmlformats.org/drawingml/2006/chartDrawing">
    <cdr:from>
      <cdr:x>0.49879</cdr:x>
      <cdr:y>0.54356</cdr:y>
    </cdr:from>
    <cdr:to>
      <cdr:x>0.57375</cdr:x>
      <cdr:y>0.66558</cdr:y>
    </cdr:to>
    <cdr:sp macro="" textlink="">
      <cdr:nvSpPr>
        <cdr:cNvPr id="128001" name="Text Box 1"/>
        <cdr:cNvSpPr txBox="1">
          <a:spLocks xmlns:a="http://schemas.openxmlformats.org/drawingml/2006/main" noChangeArrowheads="1"/>
        </cdr:cNvSpPr>
      </cdr:nvSpPr>
      <cdr:spPr bwMode="auto">
        <a:xfrm xmlns:a="http://schemas.openxmlformats.org/drawingml/2006/main">
          <a:off x="1815568" y="1627557"/>
          <a:ext cx="271367" cy="3674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0" rIns="0" bIns="0" anchor="ctr" upright="1"/>
        <a:lstStyle xmlns:a="http://schemas.openxmlformats.org/drawingml/2006/main"/>
        <a:p xmlns:a="http://schemas.openxmlformats.org/drawingml/2006/main">
          <a:endParaRPr lang="es-CO"/>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2</xdr:col>
      <xdr:colOff>285750</xdr:colOff>
      <xdr:row>2</xdr:row>
      <xdr:rowOff>28574</xdr:rowOff>
    </xdr:from>
    <xdr:to>
      <xdr:col>2</xdr:col>
      <xdr:colOff>1314449</xdr:colOff>
      <xdr:row>3</xdr:row>
      <xdr:rowOff>28575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3181350" y="857249"/>
          <a:ext cx="1028699" cy="504826"/>
        </a:xfrm>
        <a:prstGeom prst="rect">
          <a:avLst/>
        </a:prstGeom>
        <a:ln>
          <a:noFill/>
        </a:ln>
      </xdr:spPr>
    </xdr:pic>
    <xdr:clientData/>
  </xdr:twoCellAnchor>
  <xdr:twoCellAnchor editAs="oneCell">
    <xdr:from>
      <xdr:col>2</xdr:col>
      <xdr:colOff>76200</xdr:colOff>
      <xdr:row>1</xdr:row>
      <xdr:rowOff>19050</xdr:rowOff>
    </xdr:from>
    <xdr:to>
      <xdr:col>2</xdr:col>
      <xdr:colOff>1438275</xdr:colOff>
      <xdr:row>2</xdr:row>
      <xdr:rowOff>25845</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rcRect/>
        <a:stretch/>
      </xdr:blipFill>
      <xdr:spPr>
        <a:xfrm>
          <a:off x="2971800" y="342900"/>
          <a:ext cx="1362075" cy="511620"/>
        </a:xfrm>
        <a:prstGeom prst="rect">
          <a:avLst/>
        </a:prstGeom>
        <a:ln>
          <a:noFill/>
        </a:ln>
      </xdr:spPr>
    </xdr:pic>
    <xdr:clientData/>
  </xdr:twoCellAnchor>
  <xdr:twoCellAnchor editAs="oneCell">
    <xdr:from>
      <xdr:col>2</xdr:col>
      <xdr:colOff>86852</xdr:colOff>
      <xdr:row>6</xdr:row>
      <xdr:rowOff>78266</xdr:rowOff>
    </xdr:from>
    <xdr:to>
      <xdr:col>2</xdr:col>
      <xdr:colOff>1387552</xdr:colOff>
      <xdr:row>7</xdr:row>
      <xdr:rowOff>28575</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5" cstate="print">
          <a:clrChange>
            <a:clrFrom>
              <a:srgbClr val="E4E4E4"/>
            </a:clrFrom>
            <a:clrTo>
              <a:srgbClr val="E4E4E4">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82452" y="2926241"/>
          <a:ext cx="1300700" cy="455134"/>
        </a:xfrm>
        <a:prstGeom prst="rect">
          <a:avLst/>
        </a:prstGeom>
        <a:ln>
          <a:noFill/>
        </a:ln>
      </xdr:spPr>
    </xdr:pic>
    <xdr:clientData/>
  </xdr:twoCellAnchor>
  <xdr:twoCellAnchor editAs="oneCell">
    <xdr:from>
      <xdr:col>2</xdr:col>
      <xdr:colOff>142875</xdr:colOff>
      <xdr:row>5</xdr:row>
      <xdr:rowOff>19050</xdr:rowOff>
    </xdr:from>
    <xdr:to>
      <xdr:col>2</xdr:col>
      <xdr:colOff>1400175</xdr:colOff>
      <xdr:row>6</xdr:row>
      <xdr:rowOff>1</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8475" y="2362200"/>
          <a:ext cx="1257300" cy="485776"/>
        </a:xfrm>
        <a:prstGeom prst="rect">
          <a:avLst/>
        </a:prstGeom>
        <a:ln>
          <a:noFill/>
        </a:ln>
      </xdr:spPr>
    </xdr:pic>
    <xdr:clientData/>
  </xdr:twoCellAnchor>
  <xdr:twoCellAnchor editAs="oneCell">
    <xdr:from>
      <xdr:col>2</xdr:col>
      <xdr:colOff>47625</xdr:colOff>
      <xdr:row>12</xdr:row>
      <xdr:rowOff>28575</xdr:rowOff>
    </xdr:from>
    <xdr:to>
      <xdr:col>2</xdr:col>
      <xdr:colOff>1466850</xdr:colOff>
      <xdr:row>12</xdr:row>
      <xdr:rowOff>495300</xdr:rowOff>
    </xdr:to>
    <xdr:pic>
      <xdr:nvPicPr>
        <xdr:cNvPr id="6" name="Imagen 6">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43225" y="5400675"/>
          <a:ext cx="1419225" cy="466725"/>
        </a:xfrm>
        <a:prstGeom prst="rect">
          <a:avLst/>
        </a:prstGeom>
        <a:ln>
          <a:noFill/>
        </a:ln>
      </xdr:spPr>
    </xdr:pic>
    <xdr:clientData/>
  </xdr:twoCellAnchor>
  <xdr:twoCellAnchor editAs="oneCell">
    <xdr:from>
      <xdr:col>2</xdr:col>
      <xdr:colOff>209551</xdr:colOff>
      <xdr:row>3</xdr:row>
      <xdr:rowOff>48102</xdr:rowOff>
    </xdr:from>
    <xdr:to>
      <xdr:col>2</xdr:col>
      <xdr:colOff>1247775</xdr:colOff>
      <xdr:row>4</xdr:row>
      <xdr:rowOff>9525</xdr:rowOff>
    </xdr:to>
    <xdr:pic>
      <xdr:nvPicPr>
        <xdr:cNvPr id="7" name="Imagen 7">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l="8469" t="20349" r="39447" b="15553"/>
        <a:stretch/>
      </xdr:blipFill>
      <xdr:spPr>
        <a:xfrm>
          <a:off x="3105151" y="1381602"/>
          <a:ext cx="1038224" cy="466248"/>
        </a:xfrm>
        <a:prstGeom prst="rect">
          <a:avLst/>
        </a:prstGeom>
        <a:ln>
          <a:noFill/>
        </a:ln>
      </xdr:spPr>
    </xdr:pic>
    <xdr:clientData/>
  </xdr:twoCellAnchor>
  <xdr:twoCellAnchor editAs="oneCell">
    <xdr:from>
      <xdr:col>2</xdr:col>
      <xdr:colOff>133350</xdr:colOff>
      <xdr:row>4</xdr:row>
      <xdr:rowOff>28576</xdr:rowOff>
    </xdr:from>
    <xdr:to>
      <xdr:col>2</xdr:col>
      <xdr:colOff>1371600</xdr:colOff>
      <xdr:row>4</xdr:row>
      <xdr:rowOff>476250</xdr:rowOff>
    </xdr:to>
    <xdr:pic>
      <xdr:nvPicPr>
        <xdr:cNvPr id="10" name="Imagen 37">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9" cstate="print"/>
        <a:stretch>
          <a:fillRect/>
        </a:stretch>
      </xdr:blipFill>
      <xdr:spPr>
        <a:xfrm>
          <a:off x="3028950" y="1866901"/>
          <a:ext cx="1238250" cy="447674"/>
        </a:xfrm>
        <a:prstGeom prst="rect">
          <a:avLst/>
        </a:prstGeom>
      </xdr:spPr>
    </xdr:pic>
    <xdr:clientData/>
  </xdr:twoCellAnchor>
  <xdr:twoCellAnchor editAs="oneCell">
    <xdr:from>
      <xdr:col>2</xdr:col>
      <xdr:colOff>123826</xdr:colOff>
      <xdr:row>7</xdr:row>
      <xdr:rowOff>28575</xdr:rowOff>
    </xdr:from>
    <xdr:to>
      <xdr:col>2</xdr:col>
      <xdr:colOff>1333500</xdr:colOff>
      <xdr:row>7</xdr:row>
      <xdr:rowOff>495301</xdr:rowOff>
    </xdr:to>
    <xdr:pic>
      <xdr:nvPicPr>
        <xdr:cNvPr id="11" name="Imagen 38">
          <a:extLst>
            <a:ext uri="{FF2B5EF4-FFF2-40B4-BE49-F238E27FC236}">
              <a16:creationId xmlns:a16="http://schemas.microsoft.com/office/drawing/2014/main" id="{00000000-0008-0000-0E00-00000B000000}"/>
            </a:ext>
          </a:extLst>
        </xdr:cNvPr>
        <xdr:cNvPicPr>
          <a:picLocks noChangeAspect="1"/>
        </xdr:cNvPicPr>
      </xdr:nvPicPr>
      <xdr:blipFill rotWithShape="1">
        <a:blip xmlns:r="http://schemas.openxmlformats.org/officeDocument/2006/relationships" r:embed="rId10" cstate="print"/>
        <a:srcRect l="10185" t="6024" r="10185" b="9638"/>
        <a:stretch/>
      </xdr:blipFill>
      <xdr:spPr>
        <a:xfrm>
          <a:off x="3019426" y="3886200"/>
          <a:ext cx="1209674" cy="466726"/>
        </a:xfrm>
        <a:prstGeom prst="rect">
          <a:avLst/>
        </a:prstGeom>
      </xdr:spPr>
    </xdr:pic>
    <xdr:clientData/>
  </xdr:twoCellAnchor>
  <xdr:twoCellAnchor editAs="oneCell">
    <xdr:from>
      <xdr:col>2</xdr:col>
      <xdr:colOff>123825</xdr:colOff>
      <xdr:row>8</xdr:row>
      <xdr:rowOff>28576</xdr:rowOff>
    </xdr:from>
    <xdr:to>
      <xdr:col>2</xdr:col>
      <xdr:colOff>1295400</xdr:colOff>
      <xdr:row>8</xdr:row>
      <xdr:rowOff>478956</xdr:rowOff>
    </xdr:to>
    <xdr:pic>
      <xdr:nvPicPr>
        <xdr:cNvPr id="12" name="Imagen 39">
          <a:extLst>
            <a:ext uri="{FF2B5EF4-FFF2-40B4-BE49-F238E27FC236}">
              <a16:creationId xmlns:a16="http://schemas.microsoft.com/office/drawing/2014/main" id="{00000000-0008-0000-0E00-00000C000000}"/>
            </a:ext>
          </a:extLst>
        </xdr:cNvPr>
        <xdr:cNvPicPr>
          <a:picLocks noChangeAspect="1"/>
        </xdr:cNvPicPr>
      </xdr:nvPicPr>
      <xdr:blipFill rotWithShape="1">
        <a:blip xmlns:r="http://schemas.openxmlformats.org/officeDocument/2006/relationships" r:embed="rId11" cstate="print"/>
        <a:srcRect l="4762" t="5883" r="11418" b="10283"/>
        <a:stretch/>
      </xdr:blipFill>
      <xdr:spPr>
        <a:xfrm>
          <a:off x="3019425" y="4895851"/>
          <a:ext cx="1171575" cy="450380"/>
        </a:xfrm>
        <a:prstGeom prst="rect">
          <a:avLst/>
        </a:prstGeom>
      </xdr:spPr>
    </xdr:pic>
    <xdr:clientData/>
  </xdr:twoCellAnchor>
  <xdr:twoCellAnchor editAs="oneCell">
    <xdr:from>
      <xdr:col>2</xdr:col>
      <xdr:colOff>85724</xdr:colOff>
      <xdr:row>13</xdr:row>
      <xdr:rowOff>38100</xdr:rowOff>
    </xdr:from>
    <xdr:to>
      <xdr:col>2</xdr:col>
      <xdr:colOff>1419225</xdr:colOff>
      <xdr:row>13</xdr:row>
      <xdr:rowOff>466725</xdr:rowOff>
    </xdr:to>
    <xdr:pic>
      <xdr:nvPicPr>
        <xdr:cNvPr id="21" name="Imagen 48">
          <a:extLst>
            <a:ext uri="{FF2B5EF4-FFF2-40B4-BE49-F238E27FC236}">
              <a16:creationId xmlns:a16="http://schemas.microsoft.com/office/drawing/2014/main" id="{00000000-0008-0000-0E00-000015000000}"/>
            </a:ext>
          </a:extLst>
        </xdr:cNvPr>
        <xdr:cNvPicPr>
          <a:picLocks noChangeAspect="1"/>
        </xdr:cNvPicPr>
      </xdr:nvPicPr>
      <xdr:blipFill rotWithShape="1">
        <a:blip xmlns:r="http://schemas.openxmlformats.org/officeDocument/2006/relationships" r:embed="rId12" cstate="print"/>
        <a:srcRect l="13910" t="26171" r="17208" b="35506"/>
        <a:stretch/>
      </xdr:blipFill>
      <xdr:spPr>
        <a:xfrm>
          <a:off x="2981324" y="5915025"/>
          <a:ext cx="1333501" cy="428625"/>
        </a:xfrm>
        <a:prstGeom prst="rect">
          <a:avLst/>
        </a:prstGeom>
      </xdr:spPr>
    </xdr:pic>
    <xdr:clientData/>
  </xdr:twoCellAnchor>
  <xdr:oneCellAnchor>
    <xdr:from>
      <xdr:col>2</xdr:col>
      <xdr:colOff>207653</xdr:colOff>
      <xdr:row>33</xdr:row>
      <xdr:rowOff>19050</xdr:rowOff>
    </xdr:from>
    <xdr:ext cx="1268722" cy="458251"/>
    <xdr:pic>
      <xdr:nvPicPr>
        <xdr:cNvPr id="23" name="Imagen 50">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3103253" y="14478000"/>
          <a:ext cx="1268722" cy="458251"/>
        </a:xfrm>
        <a:prstGeom prst="rect">
          <a:avLst/>
        </a:prstGeom>
        <a:ln>
          <a:noFill/>
        </a:ln>
      </xdr:spPr>
    </xdr:pic>
    <xdr:clientData/>
  </xdr:oneCellAnchor>
  <xdr:twoCellAnchor editAs="oneCell">
    <xdr:from>
      <xdr:col>2</xdr:col>
      <xdr:colOff>85726</xdr:colOff>
      <xdr:row>32</xdr:row>
      <xdr:rowOff>38100</xdr:rowOff>
    </xdr:from>
    <xdr:to>
      <xdr:col>2</xdr:col>
      <xdr:colOff>1325562</xdr:colOff>
      <xdr:row>32</xdr:row>
      <xdr:rowOff>457200</xdr:rowOff>
    </xdr:to>
    <xdr:pic>
      <xdr:nvPicPr>
        <xdr:cNvPr id="24" name="Imagen 51">
          <a:extLst>
            <a:ext uri="{FF2B5EF4-FFF2-40B4-BE49-F238E27FC236}">
              <a16:creationId xmlns:a16="http://schemas.microsoft.com/office/drawing/2014/main" id="{00000000-0008-0000-0E00-000018000000}"/>
            </a:ext>
          </a:extLst>
        </xdr:cNvPr>
        <xdr:cNvPicPr>
          <a:picLocks noChangeAspect="1"/>
        </xdr:cNvPicPr>
      </xdr:nvPicPr>
      <xdr:blipFill rotWithShape="1">
        <a:blip xmlns:r="http://schemas.openxmlformats.org/officeDocument/2006/relationships" r:embed="rId13" cstate="print"/>
        <a:srcRect l="21878" t="27011" r="22560" b="29918"/>
        <a:stretch/>
      </xdr:blipFill>
      <xdr:spPr>
        <a:xfrm>
          <a:off x="2981326" y="13487400"/>
          <a:ext cx="1239836" cy="419100"/>
        </a:xfrm>
        <a:prstGeom prst="rect">
          <a:avLst/>
        </a:prstGeom>
      </xdr:spPr>
    </xdr:pic>
    <xdr:clientData/>
  </xdr:twoCellAnchor>
  <xdr:twoCellAnchor editAs="oneCell">
    <xdr:from>
      <xdr:col>2</xdr:col>
      <xdr:colOff>85725</xdr:colOff>
      <xdr:row>30</xdr:row>
      <xdr:rowOff>9525</xdr:rowOff>
    </xdr:from>
    <xdr:to>
      <xdr:col>2</xdr:col>
      <xdr:colOff>1314450</xdr:colOff>
      <xdr:row>30</xdr:row>
      <xdr:rowOff>485775</xdr:rowOff>
    </xdr:to>
    <xdr:pic>
      <xdr:nvPicPr>
        <xdr:cNvPr id="26" name="Picture 2">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981325" y="12449175"/>
          <a:ext cx="1228725" cy="476250"/>
        </a:xfrm>
        <a:prstGeom prst="rect">
          <a:avLst/>
        </a:prstGeom>
        <a:noFill/>
      </xdr:spPr>
    </xdr:pic>
    <xdr:clientData/>
  </xdr:twoCellAnchor>
  <xdr:twoCellAnchor editAs="oneCell">
    <xdr:from>
      <xdr:col>2</xdr:col>
      <xdr:colOff>38100</xdr:colOff>
      <xdr:row>34</xdr:row>
      <xdr:rowOff>57150</xdr:rowOff>
    </xdr:from>
    <xdr:to>
      <xdr:col>2</xdr:col>
      <xdr:colOff>1266825</xdr:colOff>
      <xdr:row>35</xdr:row>
      <xdr:rowOff>28575</xdr:rowOff>
    </xdr:to>
    <xdr:pic>
      <xdr:nvPicPr>
        <xdr:cNvPr id="27" name="Picture 2">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933700" y="15020925"/>
          <a:ext cx="1228725" cy="476250"/>
        </a:xfrm>
        <a:prstGeom prst="rect">
          <a:avLst/>
        </a:prstGeom>
        <a:noFill/>
      </xdr:spPr>
    </xdr:pic>
    <xdr:clientData/>
  </xdr:twoCellAnchor>
  <xdr:twoCellAnchor editAs="oneCell">
    <xdr:from>
      <xdr:col>2</xdr:col>
      <xdr:colOff>47625</xdr:colOff>
      <xdr:row>9</xdr:row>
      <xdr:rowOff>28575</xdr:rowOff>
    </xdr:from>
    <xdr:to>
      <xdr:col>2</xdr:col>
      <xdr:colOff>1466850</xdr:colOff>
      <xdr:row>9</xdr:row>
      <xdr:rowOff>495300</xdr:rowOff>
    </xdr:to>
    <xdr:pic>
      <xdr:nvPicPr>
        <xdr:cNvPr id="31" name="Imagen 6">
          <a:extLst>
            <a:ext uri="{FF2B5EF4-FFF2-40B4-BE49-F238E27FC236}">
              <a16:creationId xmlns:a16="http://schemas.microsoft.com/office/drawing/2014/main" id="{35008499-99D5-458D-8044-EE8D03045DFF}"/>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43225" y="4733925"/>
          <a:ext cx="1419225" cy="466725"/>
        </a:xfrm>
        <a:prstGeom prst="rect">
          <a:avLst/>
        </a:prstGeom>
        <a:ln>
          <a:noFill/>
        </a:ln>
      </xdr:spPr>
    </xdr:pic>
    <xdr:clientData/>
  </xdr:twoCellAnchor>
  <xdr:oneCellAnchor>
    <xdr:from>
      <xdr:col>2</xdr:col>
      <xdr:colOff>38100</xdr:colOff>
      <xdr:row>8</xdr:row>
      <xdr:rowOff>47625</xdr:rowOff>
    </xdr:from>
    <xdr:ext cx="1419225" cy="466725"/>
    <xdr:pic>
      <xdr:nvPicPr>
        <xdr:cNvPr id="32" name="Imagen 6">
          <a:extLst>
            <a:ext uri="{FF2B5EF4-FFF2-40B4-BE49-F238E27FC236}">
              <a16:creationId xmlns:a16="http://schemas.microsoft.com/office/drawing/2014/main" id="{C70123F5-0EC3-45B6-81D3-CB8707596DF1}"/>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33700" y="4248150"/>
          <a:ext cx="1419225" cy="466725"/>
        </a:xfrm>
        <a:prstGeom prst="rect">
          <a:avLst/>
        </a:prstGeom>
        <a:ln>
          <a:noFill/>
        </a:ln>
      </xdr:spPr>
    </xdr:pic>
    <xdr:clientData/>
  </xdr:oneCellAnchor>
  <xdr:oneCellAnchor>
    <xdr:from>
      <xdr:col>2</xdr:col>
      <xdr:colOff>85724</xdr:colOff>
      <xdr:row>9</xdr:row>
      <xdr:rowOff>38100</xdr:rowOff>
    </xdr:from>
    <xdr:ext cx="1333501" cy="428625"/>
    <xdr:pic>
      <xdr:nvPicPr>
        <xdr:cNvPr id="33" name="Imagen 48">
          <a:extLst>
            <a:ext uri="{FF2B5EF4-FFF2-40B4-BE49-F238E27FC236}">
              <a16:creationId xmlns:a16="http://schemas.microsoft.com/office/drawing/2014/main" id="{760A2AB1-6CDA-4A95-A881-2E0E07357202}"/>
            </a:ext>
          </a:extLst>
        </xdr:cNvPr>
        <xdr:cNvPicPr>
          <a:picLocks noChangeAspect="1"/>
        </xdr:cNvPicPr>
      </xdr:nvPicPr>
      <xdr:blipFill rotWithShape="1">
        <a:blip xmlns:r="http://schemas.openxmlformats.org/officeDocument/2006/relationships" r:embed="rId12" cstate="print"/>
        <a:srcRect l="13910" t="26171" r="17208" b="35506"/>
        <a:stretch/>
      </xdr:blipFill>
      <xdr:spPr>
        <a:xfrm>
          <a:off x="2981324" y="4743450"/>
          <a:ext cx="1333501" cy="428625"/>
        </a:xfrm>
        <a:prstGeom prst="rect">
          <a:avLst/>
        </a:prstGeom>
      </xdr:spPr>
    </xdr:pic>
    <xdr:clientData/>
  </xdr:oneCellAnchor>
  <xdr:twoCellAnchor editAs="oneCell">
    <xdr:from>
      <xdr:col>2</xdr:col>
      <xdr:colOff>19051</xdr:colOff>
      <xdr:row>11</xdr:row>
      <xdr:rowOff>76200</xdr:rowOff>
    </xdr:from>
    <xdr:to>
      <xdr:col>2</xdr:col>
      <xdr:colOff>1504951</xdr:colOff>
      <xdr:row>11</xdr:row>
      <xdr:rowOff>466725</xdr:rowOff>
    </xdr:to>
    <xdr:pic>
      <xdr:nvPicPr>
        <xdr:cNvPr id="34" name="Imagen 33">
          <a:extLst>
            <a:ext uri="{FF2B5EF4-FFF2-40B4-BE49-F238E27FC236}">
              <a16:creationId xmlns:a16="http://schemas.microsoft.com/office/drawing/2014/main" id="{352CAFE0-DBBB-479B-90A3-7D8DC637EFE1}"/>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914651" y="5791200"/>
          <a:ext cx="1485900" cy="390525"/>
        </a:xfrm>
        <a:prstGeom prst="rect">
          <a:avLst/>
        </a:prstGeom>
        <a:noFill/>
        <a:ln>
          <a:noFill/>
        </a:ln>
      </xdr:spPr>
    </xdr:pic>
    <xdr:clientData/>
  </xdr:twoCellAnchor>
  <xdr:twoCellAnchor editAs="oneCell">
    <xdr:from>
      <xdr:col>2</xdr:col>
      <xdr:colOff>152400</xdr:colOff>
      <xdr:row>10</xdr:row>
      <xdr:rowOff>47625</xdr:rowOff>
    </xdr:from>
    <xdr:to>
      <xdr:col>2</xdr:col>
      <xdr:colOff>1338865</xdr:colOff>
      <xdr:row>10</xdr:row>
      <xdr:rowOff>466725</xdr:rowOff>
    </xdr:to>
    <xdr:pic>
      <xdr:nvPicPr>
        <xdr:cNvPr id="35" name="Imagen 3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8000" y="5257800"/>
          <a:ext cx="1186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15</xdr:row>
      <xdr:rowOff>28576</xdr:rowOff>
    </xdr:from>
    <xdr:to>
      <xdr:col>2</xdr:col>
      <xdr:colOff>1476375</xdr:colOff>
      <xdr:row>15</xdr:row>
      <xdr:rowOff>476250</xdr:rowOff>
    </xdr:to>
    <xdr:pic>
      <xdr:nvPicPr>
        <xdr:cNvPr id="52" name="Imagen 51">
          <a:extLst>
            <a:ext uri="{FF2B5EF4-FFF2-40B4-BE49-F238E27FC236}">
              <a16:creationId xmlns:a16="http://schemas.microsoft.com/office/drawing/2014/main" id="{674B2E41-1E21-4FAD-ACD7-439F831E50DA}"/>
            </a:ext>
          </a:extLst>
        </xdr:cNvPr>
        <xdr:cNvPicPr>
          <a:picLocks noChangeAspect="1"/>
        </xdr:cNvPicPr>
      </xdr:nvPicPr>
      <xdr:blipFill rotWithShape="1">
        <a:blip xmlns:r="http://schemas.openxmlformats.org/officeDocument/2006/relationships" r:embed="rId17" cstate="print"/>
        <a:srcRect l="4495" t="11280" r="5044" b="20291"/>
        <a:stretch/>
      </xdr:blipFill>
      <xdr:spPr>
        <a:xfrm>
          <a:off x="2962275" y="6753226"/>
          <a:ext cx="1409700" cy="447674"/>
        </a:xfrm>
        <a:prstGeom prst="rect">
          <a:avLst/>
        </a:prstGeom>
      </xdr:spPr>
    </xdr:pic>
    <xdr:clientData/>
  </xdr:twoCellAnchor>
  <xdr:twoCellAnchor editAs="oneCell">
    <xdr:from>
      <xdr:col>2</xdr:col>
      <xdr:colOff>257176</xdr:colOff>
      <xdr:row>17</xdr:row>
      <xdr:rowOff>50157</xdr:rowOff>
    </xdr:from>
    <xdr:to>
      <xdr:col>2</xdr:col>
      <xdr:colOff>1266826</xdr:colOff>
      <xdr:row>17</xdr:row>
      <xdr:rowOff>459129</xdr:rowOff>
    </xdr:to>
    <xdr:pic>
      <xdr:nvPicPr>
        <xdr:cNvPr id="53" name="Imagen 52">
          <a:extLst>
            <a:ext uri="{FF2B5EF4-FFF2-40B4-BE49-F238E27FC236}">
              <a16:creationId xmlns:a16="http://schemas.microsoft.com/office/drawing/2014/main" id="{9E2C69EA-979E-445A-B378-0F30195532A7}"/>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152776" y="7784457"/>
          <a:ext cx="1009650" cy="408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22</xdr:row>
      <xdr:rowOff>85725</xdr:rowOff>
    </xdr:from>
    <xdr:to>
      <xdr:col>2</xdr:col>
      <xdr:colOff>981075</xdr:colOff>
      <xdr:row>22</xdr:row>
      <xdr:rowOff>487664</xdr:rowOff>
    </xdr:to>
    <xdr:pic>
      <xdr:nvPicPr>
        <xdr:cNvPr id="54" name="Imagen 53">
          <a:extLst>
            <a:ext uri="{FF2B5EF4-FFF2-40B4-BE49-F238E27FC236}">
              <a16:creationId xmlns:a16="http://schemas.microsoft.com/office/drawing/2014/main" id="{98467D84-8798-4339-9031-74A056A2545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028950" y="10344150"/>
          <a:ext cx="847725" cy="40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16</xdr:row>
      <xdr:rowOff>85725</xdr:rowOff>
    </xdr:from>
    <xdr:to>
      <xdr:col>2</xdr:col>
      <xdr:colOff>1495425</xdr:colOff>
      <xdr:row>16</xdr:row>
      <xdr:rowOff>371475</xdr:rowOff>
    </xdr:to>
    <xdr:pic>
      <xdr:nvPicPr>
        <xdr:cNvPr id="55" name="Imagen 54">
          <a:extLst>
            <a:ext uri="{FF2B5EF4-FFF2-40B4-BE49-F238E27FC236}">
              <a16:creationId xmlns:a16="http://schemas.microsoft.com/office/drawing/2014/main" id="{D052D543-68BD-475F-85D1-ECFFC53C3C9D}"/>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952750" y="7315200"/>
          <a:ext cx="143827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142875</xdr:colOff>
      <xdr:row>23</xdr:row>
      <xdr:rowOff>57150</xdr:rowOff>
    </xdr:from>
    <xdr:ext cx="1247775" cy="393716"/>
    <xdr:pic>
      <xdr:nvPicPr>
        <xdr:cNvPr id="56" name="Imagen 55">
          <a:extLst>
            <a:ext uri="{FF2B5EF4-FFF2-40B4-BE49-F238E27FC236}">
              <a16:creationId xmlns:a16="http://schemas.microsoft.com/office/drawing/2014/main" id="{2B2EEC35-B212-415D-B9DF-08A10D2997C2}"/>
            </a:ext>
          </a:extLst>
        </xdr:cNvPr>
        <xdr:cNvPicPr>
          <a:picLocks noChangeAspect="1"/>
        </xdr:cNvPicPr>
      </xdr:nvPicPr>
      <xdr:blipFill>
        <a:blip xmlns:r="http://schemas.openxmlformats.org/officeDocument/2006/relationships" r:embed="rId21"/>
        <a:stretch>
          <a:fillRect/>
        </a:stretch>
      </xdr:blipFill>
      <xdr:spPr>
        <a:xfrm>
          <a:off x="3038475" y="10820400"/>
          <a:ext cx="1247775" cy="393716"/>
        </a:xfrm>
        <a:prstGeom prst="rect">
          <a:avLst/>
        </a:prstGeom>
      </xdr:spPr>
    </xdr:pic>
    <xdr:clientData/>
  </xdr:oneCellAnchor>
  <xdr:twoCellAnchor editAs="oneCell">
    <xdr:from>
      <xdr:col>2</xdr:col>
      <xdr:colOff>295275</xdr:colOff>
      <xdr:row>21</xdr:row>
      <xdr:rowOff>66675</xdr:rowOff>
    </xdr:from>
    <xdr:to>
      <xdr:col>2</xdr:col>
      <xdr:colOff>1308735</xdr:colOff>
      <xdr:row>21</xdr:row>
      <xdr:rowOff>457200</xdr:rowOff>
    </xdr:to>
    <xdr:pic>
      <xdr:nvPicPr>
        <xdr:cNvPr id="57" name="Imagen 56">
          <a:extLst>
            <a:ext uri="{FF2B5EF4-FFF2-40B4-BE49-F238E27FC236}">
              <a16:creationId xmlns:a16="http://schemas.microsoft.com/office/drawing/2014/main" id="{25CE5488-0704-4A78-8185-025D3E56F72A}"/>
            </a:ext>
          </a:extLst>
        </xdr:cNvPr>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190875" y="9820275"/>
          <a:ext cx="101346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323850</xdr:colOff>
      <xdr:row>14</xdr:row>
      <xdr:rowOff>66675</xdr:rowOff>
    </xdr:from>
    <xdr:to>
      <xdr:col>2</xdr:col>
      <xdr:colOff>1133475</xdr:colOff>
      <xdr:row>15</xdr:row>
      <xdr:rowOff>4445</xdr:rowOff>
    </xdr:to>
    <xdr:pic>
      <xdr:nvPicPr>
        <xdr:cNvPr id="58" name="Imagen 57">
          <a:extLst>
            <a:ext uri="{FF2B5EF4-FFF2-40B4-BE49-F238E27FC236}">
              <a16:creationId xmlns:a16="http://schemas.microsoft.com/office/drawing/2014/main" id="{EB2B89CD-F396-42D8-9D22-DC5CD595E42F}"/>
            </a:ext>
          </a:extLst>
        </xdr:cNvPr>
        <xdr:cNvPicPr>
          <a:picLocks noChangeAspect="1"/>
        </xdr:cNvPicPr>
      </xdr:nvPicPr>
      <xdr:blipFill>
        <a:blip xmlns:r="http://schemas.openxmlformats.org/officeDocument/2006/relationships" r:embed="rId23"/>
        <a:stretch>
          <a:fillRect/>
        </a:stretch>
      </xdr:blipFill>
      <xdr:spPr>
        <a:xfrm>
          <a:off x="3219450" y="6286500"/>
          <a:ext cx="809625" cy="442595"/>
        </a:xfrm>
        <a:prstGeom prst="rect">
          <a:avLst/>
        </a:prstGeom>
      </xdr:spPr>
    </xdr:pic>
    <xdr:clientData/>
  </xdr:twoCellAnchor>
  <xdr:twoCellAnchor editAs="oneCell">
    <xdr:from>
      <xdr:col>2</xdr:col>
      <xdr:colOff>123825</xdr:colOff>
      <xdr:row>19</xdr:row>
      <xdr:rowOff>57150</xdr:rowOff>
    </xdr:from>
    <xdr:to>
      <xdr:col>2</xdr:col>
      <xdr:colOff>1247775</xdr:colOff>
      <xdr:row>19</xdr:row>
      <xdr:rowOff>495300</xdr:rowOff>
    </xdr:to>
    <xdr:pic>
      <xdr:nvPicPr>
        <xdr:cNvPr id="59" name="Imagen 58">
          <a:extLst>
            <a:ext uri="{FF2B5EF4-FFF2-40B4-BE49-F238E27FC236}">
              <a16:creationId xmlns:a16="http://schemas.microsoft.com/office/drawing/2014/main" id="{9AC9F46F-49CF-492A-A3B9-BFD316B34B4A}"/>
            </a:ext>
          </a:extLst>
        </xdr:cNvPr>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019425" y="8801100"/>
          <a:ext cx="1123950" cy="438150"/>
        </a:xfrm>
        <a:prstGeom prst="rect">
          <a:avLst/>
        </a:prstGeom>
        <a:noFill/>
        <a:ln>
          <a:noFill/>
        </a:ln>
      </xdr:spPr>
    </xdr:pic>
    <xdr:clientData/>
  </xdr:twoCellAnchor>
  <xdr:twoCellAnchor editAs="oneCell">
    <xdr:from>
      <xdr:col>2</xdr:col>
      <xdr:colOff>104775</xdr:colOff>
      <xdr:row>26</xdr:row>
      <xdr:rowOff>19050</xdr:rowOff>
    </xdr:from>
    <xdr:to>
      <xdr:col>2</xdr:col>
      <xdr:colOff>1057274</xdr:colOff>
      <xdr:row>26</xdr:row>
      <xdr:rowOff>450904</xdr:rowOff>
    </xdr:to>
    <xdr:pic>
      <xdr:nvPicPr>
        <xdr:cNvPr id="60" name="Imagen 59">
          <a:extLst>
            <a:ext uri="{FF2B5EF4-FFF2-40B4-BE49-F238E27FC236}">
              <a16:creationId xmlns:a16="http://schemas.microsoft.com/office/drawing/2014/main" id="{58FA5FEB-3054-4B83-939F-A92A40FAF061}"/>
            </a:ext>
          </a:extLst>
        </xdr:cNvPr>
        <xdr:cNvPicPr>
          <a:picLocks noChangeAspect="1"/>
        </xdr:cNvPicPr>
      </xdr:nvPicPr>
      <xdr:blipFill>
        <a:blip xmlns:r="http://schemas.openxmlformats.org/officeDocument/2006/relationships" r:embed="rId25"/>
        <a:stretch>
          <a:fillRect/>
        </a:stretch>
      </xdr:blipFill>
      <xdr:spPr>
        <a:xfrm>
          <a:off x="3000375" y="12296775"/>
          <a:ext cx="952499" cy="431854"/>
        </a:xfrm>
        <a:prstGeom prst="rect">
          <a:avLst/>
        </a:prstGeom>
      </xdr:spPr>
    </xdr:pic>
    <xdr:clientData/>
  </xdr:twoCellAnchor>
  <xdr:twoCellAnchor editAs="oneCell">
    <xdr:from>
      <xdr:col>2</xdr:col>
      <xdr:colOff>314325</xdr:colOff>
      <xdr:row>20</xdr:row>
      <xdr:rowOff>47625</xdr:rowOff>
    </xdr:from>
    <xdr:to>
      <xdr:col>2</xdr:col>
      <xdr:colOff>1171575</xdr:colOff>
      <xdr:row>20</xdr:row>
      <xdr:rowOff>485775</xdr:rowOff>
    </xdr:to>
    <xdr:pic>
      <xdr:nvPicPr>
        <xdr:cNvPr id="61" name="Imagen 60"/>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209925" y="9296400"/>
          <a:ext cx="857250" cy="438150"/>
        </a:xfrm>
        <a:prstGeom prst="rect">
          <a:avLst/>
        </a:prstGeom>
        <a:noFill/>
        <a:ln>
          <a:noFill/>
        </a:ln>
      </xdr:spPr>
    </xdr:pic>
    <xdr:clientData/>
  </xdr:twoCellAnchor>
  <xdr:twoCellAnchor editAs="oneCell">
    <xdr:from>
      <xdr:col>2</xdr:col>
      <xdr:colOff>152400</xdr:colOff>
      <xdr:row>24</xdr:row>
      <xdr:rowOff>38100</xdr:rowOff>
    </xdr:from>
    <xdr:to>
      <xdr:col>2</xdr:col>
      <xdr:colOff>1238250</xdr:colOff>
      <xdr:row>24</xdr:row>
      <xdr:rowOff>438150</xdr:rowOff>
    </xdr:to>
    <xdr:pic>
      <xdr:nvPicPr>
        <xdr:cNvPr id="62" name="Imagen 6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048000" y="11306175"/>
          <a:ext cx="1085850" cy="400050"/>
        </a:xfrm>
        <a:prstGeom prst="rect">
          <a:avLst/>
        </a:prstGeom>
        <a:noFill/>
        <a:ln>
          <a:noFill/>
        </a:ln>
      </xdr:spPr>
    </xdr:pic>
    <xdr:clientData/>
  </xdr:twoCellAnchor>
  <xdr:twoCellAnchor editAs="oneCell">
    <xdr:from>
      <xdr:col>2</xdr:col>
      <xdr:colOff>19050</xdr:colOff>
      <xdr:row>25</xdr:row>
      <xdr:rowOff>104775</xdr:rowOff>
    </xdr:from>
    <xdr:to>
      <xdr:col>2</xdr:col>
      <xdr:colOff>1466850</xdr:colOff>
      <xdr:row>25</xdr:row>
      <xdr:rowOff>371475</xdr:rowOff>
    </xdr:to>
    <xdr:pic>
      <xdr:nvPicPr>
        <xdr:cNvPr id="63" name="Imagen 62"/>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b="12500"/>
        <a:stretch/>
      </xdr:blipFill>
      <xdr:spPr bwMode="auto">
        <a:xfrm>
          <a:off x="2914650" y="11877675"/>
          <a:ext cx="1447800" cy="2667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123825</xdr:colOff>
      <xdr:row>29</xdr:row>
      <xdr:rowOff>95250</xdr:rowOff>
    </xdr:from>
    <xdr:to>
      <xdr:col>2</xdr:col>
      <xdr:colOff>1362075</xdr:colOff>
      <xdr:row>29</xdr:row>
      <xdr:rowOff>409575</xdr:rowOff>
    </xdr:to>
    <xdr:pic>
      <xdr:nvPicPr>
        <xdr:cNvPr id="64" name="Imagen 63"/>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19425" y="13887450"/>
          <a:ext cx="1238250" cy="314325"/>
        </a:xfrm>
        <a:prstGeom prst="rect">
          <a:avLst/>
        </a:prstGeom>
        <a:noFill/>
        <a:ln>
          <a:noFill/>
        </a:ln>
      </xdr:spPr>
    </xdr:pic>
    <xdr:clientData/>
  </xdr:twoCellAnchor>
  <xdr:twoCellAnchor editAs="oneCell">
    <xdr:from>
      <xdr:col>2</xdr:col>
      <xdr:colOff>304800</xdr:colOff>
      <xdr:row>28</xdr:row>
      <xdr:rowOff>38100</xdr:rowOff>
    </xdr:from>
    <xdr:to>
      <xdr:col>2</xdr:col>
      <xdr:colOff>1102518</xdr:colOff>
      <xdr:row>28</xdr:row>
      <xdr:rowOff>490587</xdr:rowOff>
    </xdr:to>
    <xdr:pic>
      <xdr:nvPicPr>
        <xdr:cNvPr id="65" name="Imagen 64"/>
        <xdr:cNvPicPr>
          <a:picLocks noChangeAspect="1"/>
        </xdr:cNvPicPr>
      </xdr:nvPicPr>
      <xdr:blipFill>
        <a:blip xmlns:r="http://schemas.openxmlformats.org/officeDocument/2006/relationships" r:embed="rId30"/>
        <a:stretch>
          <a:fillRect/>
        </a:stretch>
      </xdr:blipFill>
      <xdr:spPr>
        <a:xfrm>
          <a:off x="3200400" y="13325475"/>
          <a:ext cx="797718" cy="452487"/>
        </a:xfrm>
        <a:prstGeom prst="rect">
          <a:avLst/>
        </a:prstGeom>
      </xdr:spPr>
    </xdr:pic>
    <xdr:clientData/>
  </xdr:twoCellAnchor>
  <xdr:twoCellAnchor editAs="oneCell">
    <xdr:from>
      <xdr:col>2</xdr:col>
      <xdr:colOff>114300</xdr:colOff>
      <xdr:row>27</xdr:row>
      <xdr:rowOff>28576</xdr:rowOff>
    </xdr:from>
    <xdr:to>
      <xdr:col>2</xdr:col>
      <xdr:colOff>1190626</xdr:colOff>
      <xdr:row>27</xdr:row>
      <xdr:rowOff>476250</xdr:rowOff>
    </xdr:to>
    <xdr:pic>
      <xdr:nvPicPr>
        <xdr:cNvPr id="66" name="Imagen 65"/>
        <xdr:cNvPicPr>
          <a:picLocks noChangeAspect="1"/>
        </xdr:cNvPicPr>
      </xdr:nvPicPr>
      <xdr:blipFill>
        <a:blip xmlns:r="http://schemas.openxmlformats.org/officeDocument/2006/relationships" r:embed="rId31"/>
        <a:stretch>
          <a:fillRect/>
        </a:stretch>
      </xdr:blipFill>
      <xdr:spPr>
        <a:xfrm>
          <a:off x="3009900" y="12811126"/>
          <a:ext cx="1076326" cy="447674"/>
        </a:xfrm>
        <a:prstGeom prst="rect">
          <a:avLst/>
        </a:prstGeom>
      </xdr:spPr>
    </xdr:pic>
    <xdr:clientData/>
  </xdr:twoCellAnchor>
  <xdr:twoCellAnchor editAs="oneCell">
    <xdr:from>
      <xdr:col>2</xdr:col>
      <xdr:colOff>342900</xdr:colOff>
      <xdr:row>17</xdr:row>
      <xdr:rowOff>485775</xdr:rowOff>
    </xdr:from>
    <xdr:to>
      <xdr:col>2</xdr:col>
      <xdr:colOff>1143000</xdr:colOff>
      <xdr:row>18</xdr:row>
      <xdr:rowOff>476250</xdr:rowOff>
    </xdr:to>
    <xdr:pic>
      <xdr:nvPicPr>
        <xdr:cNvPr id="67" name="Imagen 66"/>
        <xdr:cNvPicPr/>
      </xdr:nvPicPr>
      <xdr:blipFill rotWithShape="1">
        <a:blip xmlns:r="http://schemas.openxmlformats.org/officeDocument/2006/relationships" r:embed="rId32">
          <a:extLst>
            <a:ext uri="{BEBA8EAE-BF5A-486C-A8C5-ECC9F3942E4B}">
              <a14:imgProps xmlns:a14="http://schemas.microsoft.com/office/drawing/2010/main">
                <a14:imgLayer r:embed="rId33">
                  <a14:imgEffect>
                    <a14:backgroundRemoval t="19974" b="62413" l="9921" r="89948">
                      <a14:foregroundMark x1="33785" y1="59178" x2="33785" y2="59178"/>
                      <a14:foregroundMark x1="31425" y1="61538" x2="31425" y2="61538"/>
                      <a14:foregroundMark x1="29021" y1="62413" x2="29021" y2="62413"/>
                      <a14:foregroundMark x1="50481" y1="36626" x2="50481" y2="36626"/>
                    </a14:backgroundRemoval>
                  </a14:imgEffect>
                  <a14:imgEffect>
                    <a14:colorTemperature colorTemp="6499"/>
                  </a14:imgEffect>
                  <a14:imgEffect>
                    <a14:saturation sat="0"/>
                  </a14:imgEffect>
                  <a14:imgEffect>
                    <a14:brightnessContrast bright="9000"/>
                  </a14:imgEffect>
                </a14:imgLayer>
              </a14:imgProps>
            </a:ext>
          </a:extLst>
        </a:blip>
        <a:srcRect t="14987" b="34556"/>
        <a:stretch/>
      </xdr:blipFill>
      <xdr:spPr>
        <a:xfrm>
          <a:off x="3238500" y="8220075"/>
          <a:ext cx="800100" cy="495300"/>
        </a:xfrm>
        <a:prstGeom prst="rect">
          <a:avLst/>
        </a:prstGeom>
        <a:effectLst>
          <a:outerShdw blurRad="50800" dist="50800" dir="5400000" algn="ctr" rotWithShape="0">
            <a:srgbClr val="000000">
              <a:alpha val="0"/>
            </a:srgbClr>
          </a:outerShdw>
        </a:effectLst>
      </xdr:spPr>
    </xdr:pic>
    <xdr:clientData/>
  </xdr:twoCellAnchor>
  <xdr:twoCellAnchor editAs="oneCell">
    <xdr:from>
      <xdr:col>2</xdr:col>
      <xdr:colOff>152400</xdr:colOff>
      <xdr:row>37</xdr:row>
      <xdr:rowOff>28576</xdr:rowOff>
    </xdr:from>
    <xdr:to>
      <xdr:col>2</xdr:col>
      <xdr:colOff>1283345</xdr:colOff>
      <xdr:row>38</xdr:row>
      <xdr:rowOff>1</xdr:rowOff>
    </xdr:to>
    <xdr:pic>
      <xdr:nvPicPr>
        <xdr:cNvPr id="68" name="Imagen 67">
          <a:extLst>
            <a:ext uri="{FF2B5EF4-FFF2-40B4-BE49-F238E27FC236}">
              <a16:creationId xmlns:a16="http://schemas.microsoft.com/office/drawing/2014/main" id="{7E9DB8E4-4AAC-4436-830F-F32541448F92}"/>
            </a:ext>
          </a:extLst>
        </xdr:cNvPr>
        <xdr:cNvPicPr>
          <a:picLocks noChangeAspect="1"/>
        </xdr:cNvPicPr>
      </xdr:nvPicPr>
      <xdr:blipFill>
        <a:blip xmlns:r="http://schemas.openxmlformats.org/officeDocument/2006/relationships" r:embed="rId34"/>
        <a:stretch>
          <a:fillRect/>
        </a:stretch>
      </xdr:blipFill>
      <xdr:spPr>
        <a:xfrm>
          <a:off x="3048000" y="18364201"/>
          <a:ext cx="1130945" cy="476250"/>
        </a:xfrm>
        <a:prstGeom prst="rect">
          <a:avLst/>
        </a:prstGeom>
      </xdr:spPr>
    </xdr:pic>
    <xdr:clientData/>
  </xdr:twoCellAnchor>
  <xdr:twoCellAnchor editAs="oneCell">
    <xdr:from>
      <xdr:col>2</xdr:col>
      <xdr:colOff>247650</xdr:colOff>
      <xdr:row>36</xdr:row>
      <xdr:rowOff>47625</xdr:rowOff>
    </xdr:from>
    <xdr:to>
      <xdr:col>2</xdr:col>
      <xdr:colOff>1266825</xdr:colOff>
      <xdr:row>36</xdr:row>
      <xdr:rowOff>476250</xdr:rowOff>
    </xdr:to>
    <xdr:pic>
      <xdr:nvPicPr>
        <xdr:cNvPr id="69" name="Imagen 68">
          <a:extLst>
            <a:ext uri="{FF2B5EF4-FFF2-40B4-BE49-F238E27FC236}">
              <a16:creationId xmlns:a16="http://schemas.microsoft.com/office/drawing/2014/main" id="{9003FD31-1D1D-46E3-A953-F144E6434BA2}"/>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143250" y="17878425"/>
          <a:ext cx="101917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4</xdr:col>
      <xdr:colOff>133350</xdr:colOff>
      <xdr:row>4</xdr:row>
      <xdr:rowOff>104776</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rcRect l="4348" r="4348"/>
        <a:stretch>
          <a:fillRect/>
        </a:stretch>
      </xdr:blipFill>
      <xdr:spPr bwMode="auto">
        <a:xfrm>
          <a:off x="47625" y="38100"/>
          <a:ext cx="1304925" cy="962026"/>
        </a:xfrm>
        <a:prstGeom prst="rect">
          <a:avLst/>
        </a:prstGeom>
        <a:noFill/>
        <a:ln w="9525">
          <a:noFill/>
          <a:miter lim="800000"/>
          <a:headEnd/>
          <a:tailEnd/>
        </a:ln>
      </xdr:spPr>
    </xdr:pic>
    <xdr:clientData/>
  </xdr:twoCellAnchor>
  <xdr:twoCellAnchor>
    <xdr:from>
      <xdr:col>30</xdr:col>
      <xdr:colOff>57150</xdr:colOff>
      <xdr:row>7</xdr:row>
      <xdr:rowOff>0</xdr:rowOff>
    </xdr:from>
    <xdr:to>
      <xdr:col>39</xdr:col>
      <xdr:colOff>112102</xdr:colOff>
      <xdr:row>7</xdr:row>
      <xdr:rowOff>10989</xdr:rowOff>
    </xdr:to>
    <xdr:cxnSp macro="">
      <xdr:nvCxnSpPr>
        <xdr:cNvPr id="11" name="Conector recto 10">
          <a:extLst>
            <a:ext uri="{FF2B5EF4-FFF2-40B4-BE49-F238E27FC236}">
              <a16:creationId xmlns:a16="http://schemas.microsoft.com/office/drawing/2014/main" id="{00000000-0008-0000-0200-00000B000000}"/>
            </a:ext>
          </a:extLst>
        </xdr:cNvPr>
        <xdr:cNvCxnSpPr/>
      </xdr:nvCxnSpPr>
      <xdr:spPr>
        <a:xfrm flipV="1">
          <a:off x="7219950" y="140017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114300</xdr:colOff>
      <xdr:row>37</xdr:row>
      <xdr:rowOff>0</xdr:rowOff>
    </xdr:from>
    <xdr:to>
      <xdr:col>9</xdr:col>
      <xdr:colOff>216877</xdr:colOff>
      <xdr:row>37</xdr:row>
      <xdr:rowOff>0</xdr:rowOff>
    </xdr:to>
    <xdr:cxnSp macro="">
      <xdr:nvCxnSpPr>
        <xdr:cNvPr id="12" name="Conector recto 11">
          <a:extLst>
            <a:ext uri="{FF2B5EF4-FFF2-40B4-BE49-F238E27FC236}">
              <a16:creationId xmlns:a16="http://schemas.microsoft.com/office/drawing/2014/main" id="{00000000-0008-0000-0200-00000C000000}"/>
            </a:ext>
          </a:extLst>
        </xdr:cNvPr>
        <xdr:cNvCxnSpPr/>
      </xdr:nvCxnSpPr>
      <xdr:spPr>
        <a:xfrm>
          <a:off x="1524000"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104775</xdr:colOff>
      <xdr:row>37</xdr:row>
      <xdr:rowOff>0</xdr:rowOff>
    </xdr:from>
    <xdr:to>
      <xdr:col>18</xdr:col>
      <xdr:colOff>54952</xdr:colOff>
      <xdr:row>37</xdr:row>
      <xdr:rowOff>0</xdr:rowOff>
    </xdr:to>
    <xdr:cxnSp macro="">
      <xdr:nvCxnSpPr>
        <xdr:cNvPr id="13" name="Conector recto 12">
          <a:extLst>
            <a:ext uri="{FF2B5EF4-FFF2-40B4-BE49-F238E27FC236}">
              <a16:creationId xmlns:a16="http://schemas.microsoft.com/office/drawing/2014/main" id="{00000000-0008-0000-0200-00000D000000}"/>
            </a:ext>
          </a:extLst>
        </xdr:cNvPr>
        <xdr:cNvCxnSpPr/>
      </xdr:nvCxnSpPr>
      <xdr:spPr>
        <a:xfrm>
          <a:off x="3190875"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37</xdr:row>
      <xdr:rowOff>0</xdr:rowOff>
    </xdr:from>
    <xdr:to>
      <xdr:col>24</xdr:col>
      <xdr:colOff>159727</xdr:colOff>
      <xdr:row>37</xdr:row>
      <xdr:rowOff>0</xdr:rowOff>
    </xdr:to>
    <xdr:cxnSp macro="">
      <xdr:nvCxnSpPr>
        <xdr:cNvPr id="14" name="Conector recto 13">
          <a:extLst>
            <a:ext uri="{FF2B5EF4-FFF2-40B4-BE49-F238E27FC236}">
              <a16:creationId xmlns:a16="http://schemas.microsoft.com/office/drawing/2014/main" id="{00000000-0008-0000-0200-00000E000000}"/>
            </a:ext>
          </a:extLst>
        </xdr:cNvPr>
        <xdr:cNvCxnSpPr/>
      </xdr:nvCxnSpPr>
      <xdr:spPr>
        <a:xfrm>
          <a:off x="4867275"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11</xdr:col>
          <xdr:colOff>19050</xdr:colOff>
          <xdr:row>35</xdr:row>
          <xdr:rowOff>161925</xdr:rowOff>
        </xdr:from>
        <xdr:to>
          <xdr:col>19</xdr:col>
          <xdr:colOff>9525</xdr:colOff>
          <xdr:row>36</xdr:row>
          <xdr:rowOff>466725</xdr:rowOff>
        </xdr:to>
        <xdr:pic>
          <xdr:nvPicPr>
            <xdr:cNvPr id="15362" name="Picture 2">
              <a:extLst>
                <a:ext uri="{FF2B5EF4-FFF2-40B4-BE49-F238E27FC236}">
                  <a16:creationId xmlns:a16="http://schemas.microsoft.com/office/drawing/2014/main" id="{00000000-0008-0000-0200-0000023C0000}"/>
                </a:ext>
              </a:extLst>
            </xdr:cNvPr>
            <xdr:cNvPicPr>
              <a:picLocks noChangeAspect="1"/>
              <a:extLst>
                <a:ext uri="{84589F7E-364E-4C9E-8A38-B11213B215E9}">
                  <a14:cameraTool cellRange="revisofirmas3" spid="_x0000_s199728"/>
                </a:ext>
              </a:extLst>
            </xdr:cNvPicPr>
          </xdr:nvPicPr>
          <xdr:blipFill>
            <a:blip xmlns:r="http://schemas.openxmlformats.org/officeDocument/2006/relationships" r:embed="rId2"/>
            <a:srcRect/>
            <a:stretch>
              <a:fillRect/>
            </a:stretch>
          </xdr:blipFill>
          <xdr:spPr bwMode="auto">
            <a:xfrm>
              <a:off x="3105150" y="8105775"/>
              <a:ext cx="1647825"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35</xdr:row>
          <xdr:rowOff>152400</xdr:rowOff>
        </xdr:from>
        <xdr:to>
          <xdr:col>26</xdr:col>
          <xdr:colOff>0</xdr:colOff>
          <xdr:row>36</xdr:row>
          <xdr:rowOff>495300</xdr:rowOff>
        </xdr:to>
        <xdr:pic>
          <xdr:nvPicPr>
            <xdr:cNvPr id="15363" name="Picture 3">
              <a:extLst>
                <a:ext uri="{FF2B5EF4-FFF2-40B4-BE49-F238E27FC236}">
                  <a16:creationId xmlns:a16="http://schemas.microsoft.com/office/drawing/2014/main" id="{00000000-0008-0000-0200-0000033C0000}"/>
                </a:ext>
              </a:extLst>
            </xdr:cNvPr>
            <xdr:cNvPicPr>
              <a:picLocks noChangeAspect="1"/>
              <a:extLst>
                <a:ext uri="{84589F7E-364E-4C9E-8A38-B11213B215E9}">
                  <a14:cameraTool cellRange="aprobofirmas3" spid="_x0000_s199729"/>
                </a:ext>
              </a:extLst>
            </xdr:cNvPicPr>
          </xdr:nvPicPr>
          <xdr:blipFill>
            <a:blip xmlns:r="http://schemas.openxmlformats.org/officeDocument/2006/relationships" r:embed="rId3"/>
            <a:srcRect/>
            <a:stretch>
              <a:fillRect/>
            </a:stretch>
          </xdr:blipFill>
          <xdr:spPr bwMode="auto">
            <a:xfrm>
              <a:off x="4752975" y="8096250"/>
              <a:ext cx="168592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36</xdr:row>
          <xdr:rowOff>0</xdr:rowOff>
        </xdr:from>
        <xdr:to>
          <xdr:col>10</xdr:col>
          <xdr:colOff>95250</xdr:colOff>
          <xdr:row>36</xdr:row>
          <xdr:rowOff>476250</xdr:rowOff>
        </xdr:to>
        <xdr:pic>
          <xdr:nvPicPr>
            <xdr:cNvPr id="15367" name="Picture 7">
              <a:extLst>
                <a:ext uri="{FF2B5EF4-FFF2-40B4-BE49-F238E27FC236}">
                  <a16:creationId xmlns:a16="http://schemas.microsoft.com/office/drawing/2014/main" id="{00000000-0008-0000-0200-0000073C0000}"/>
                </a:ext>
              </a:extLst>
            </xdr:cNvPr>
            <xdr:cNvPicPr>
              <a:picLocks noChangeAspect="1"/>
              <a:extLst>
                <a:ext uri="{84589F7E-364E-4C9E-8A38-B11213B215E9}">
                  <a14:cameraTool cellRange="elaborofirmas3" spid="_x0000_s199730"/>
                </a:ext>
              </a:extLst>
            </xdr:cNvPicPr>
          </xdr:nvPicPr>
          <xdr:blipFill>
            <a:blip xmlns:r="http://schemas.openxmlformats.org/officeDocument/2006/relationships" r:embed="rId4"/>
            <a:srcRect/>
            <a:stretch>
              <a:fillRect/>
            </a:stretch>
          </xdr:blipFill>
          <xdr:spPr bwMode="auto">
            <a:xfrm>
              <a:off x="1419225" y="8115300"/>
              <a:ext cx="1666875" cy="476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85726</xdr:colOff>
      <xdr:row>19</xdr:row>
      <xdr:rowOff>95249</xdr:rowOff>
    </xdr:from>
    <xdr:to>
      <xdr:col>33</xdr:col>
      <xdr:colOff>142875</xdr:colOff>
      <xdr:row>37</xdr:row>
      <xdr:rowOff>114299</xdr:rowOff>
    </xdr:to>
    <xdr:graphicFrame macro="">
      <xdr:nvGraphicFramePr>
        <xdr:cNvPr id="2" name="Gráfico 3">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92370</xdr:colOff>
      <xdr:row>0</xdr:row>
      <xdr:rowOff>95249</xdr:rowOff>
    </xdr:from>
    <xdr:to>
      <xdr:col>6</xdr:col>
      <xdr:colOff>76200</xdr:colOff>
      <xdr:row>4</xdr:row>
      <xdr:rowOff>85724</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70" y="95249"/>
          <a:ext cx="1050630" cy="885825"/>
        </a:xfrm>
        <a:prstGeom prst="rect">
          <a:avLst/>
        </a:prstGeom>
        <a:noFill/>
        <a:ln w="9525">
          <a:noFill/>
          <a:miter lim="800000"/>
          <a:headEnd/>
          <a:tailEnd/>
        </a:ln>
      </xdr:spPr>
    </xdr:pic>
    <xdr:clientData/>
  </xdr:twoCellAnchor>
  <xdr:twoCellAnchor>
    <xdr:from>
      <xdr:col>37</xdr:col>
      <xdr:colOff>285750</xdr:colOff>
      <xdr:row>39</xdr:row>
      <xdr:rowOff>285750</xdr:rowOff>
    </xdr:from>
    <xdr:to>
      <xdr:col>39</xdr:col>
      <xdr:colOff>359752</xdr:colOff>
      <xdr:row>39</xdr:row>
      <xdr:rowOff>296739</xdr:rowOff>
    </xdr:to>
    <xdr:cxnSp macro="">
      <xdr:nvCxnSpPr>
        <xdr:cNvPr id="10" name="Conector recto 9">
          <a:extLst>
            <a:ext uri="{FF2B5EF4-FFF2-40B4-BE49-F238E27FC236}">
              <a16:creationId xmlns:a16="http://schemas.microsoft.com/office/drawing/2014/main" id="{00000000-0008-0000-0300-00000A000000}"/>
            </a:ext>
          </a:extLst>
        </xdr:cNvPr>
        <xdr:cNvCxnSpPr/>
      </xdr:nvCxnSpPr>
      <xdr:spPr>
        <a:xfrm flipV="1">
          <a:off x="7543800" y="732472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123825</xdr:colOff>
      <xdr:row>43</xdr:row>
      <xdr:rowOff>0</xdr:rowOff>
    </xdr:from>
    <xdr:to>
      <xdr:col>16</xdr:col>
      <xdr:colOff>83527</xdr:colOff>
      <xdr:row>43</xdr:row>
      <xdr:rowOff>0</xdr:rowOff>
    </xdr:to>
    <xdr:cxnSp macro="">
      <xdr:nvCxnSpPr>
        <xdr:cNvPr id="11" name="Conector recto 10">
          <a:extLst>
            <a:ext uri="{FF2B5EF4-FFF2-40B4-BE49-F238E27FC236}">
              <a16:creationId xmlns:a16="http://schemas.microsoft.com/office/drawing/2014/main" id="{00000000-0008-0000-0300-00000B000000}"/>
            </a:ext>
          </a:extLst>
        </xdr:cNvPr>
        <xdr:cNvCxnSpPr/>
      </xdr:nvCxnSpPr>
      <xdr:spPr>
        <a:xfrm>
          <a:off x="1552575" y="83629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38100</xdr:colOff>
      <xdr:row>43</xdr:row>
      <xdr:rowOff>0</xdr:rowOff>
    </xdr:from>
    <xdr:to>
      <xdr:col>27</xdr:col>
      <xdr:colOff>35902</xdr:colOff>
      <xdr:row>43</xdr:row>
      <xdr:rowOff>0</xdr:rowOff>
    </xdr:to>
    <xdr:cxnSp macro="">
      <xdr:nvCxnSpPr>
        <xdr:cNvPr id="12" name="Conector recto 11">
          <a:extLst>
            <a:ext uri="{FF2B5EF4-FFF2-40B4-BE49-F238E27FC236}">
              <a16:creationId xmlns:a16="http://schemas.microsoft.com/office/drawing/2014/main" id="{00000000-0008-0000-0300-00000C000000}"/>
            </a:ext>
          </a:extLst>
        </xdr:cNvPr>
        <xdr:cNvCxnSpPr/>
      </xdr:nvCxnSpPr>
      <xdr:spPr>
        <a:xfrm>
          <a:off x="3257550" y="82200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180975</xdr:colOff>
      <xdr:row>43</xdr:row>
      <xdr:rowOff>0</xdr:rowOff>
    </xdr:from>
    <xdr:to>
      <xdr:col>35</xdr:col>
      <xdr:colOff>74002</xdr:colOff>
      <xdr:row>43</xdr:row>
      <xdr:rowOff>0</xdr:rowOff>
    </xdr:to>
    <xdr:cxnSp macro="">
      <xdr:nvCxnSpPr>
        <xdr:cNvPr id="13" name="Conector recto 12">
          <a:extLst>
            <a:ext uri="{FF2B5EF4-FFF2-40B4-BE49-F238E27FC236}">
              <a16:creationId xmlns:a16="http://schemas.microsoft.com/office/drawing/2014/main" id="{00000000-0008-0000-0300-00000D000000}"/>
            </a:ext>
          </a:extLst>
        </xdr:cNvPr>
        <xdr:cNvCxnSpPr/>
      </xdr:nvCxnSpPr>
      <xdr:spPr>
        <a:xfrm>
          <a:off x="4981575" y="82200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27</xdr:col>
          <xdr:colOff>142875</xdr:colOff>
          <xdr:row>42</xdr:row>
          <xdr:rowOff>476250</xdr:rowOff>
        </xdr:to>
        <xdr:pic>
          <xdr:nvPicPr>
            <xdr:cNvPr id="16387" name="Picture 3">
              <a:extLst>
                <a:ext uri="{FF2B5EF4-FFF2-40B4-BE49-F238E27FC236}">
                  <a16:creationId xmlns:a16="http://schemas.microsoft.com/office/drawing/2014/main" id="{00000000-0008-0000-0300-000003400000}"/>
                </a:ext>
              </a:extLst>
            </xdr:cNvPr>
            <xdr:cNvPicPr>
              <a:picLocks noChangeAspect="1"/>
              <a:extLst>
                <a:ext uri="{84589F7E-364E-4C9E-8A38-B11213B215E9}">
                  <a14:cameraTool cellRange="revisofirmas4" spid="_x0000_s201772"/>
                </a:ext>
              </a:extLst>
            </xdr:cNvPicPr>
          </xdr:nvPicPr>
          <xdr:blipFill>
            <a:blip xmlns:r="http://schemas.openxmlformats.org/officeDocument/2006/relationships" r:embed="rId3"/>
            <a:srcRect/>
            <a:stretch>
              <a:fillRect/>
            </a:stretch>
          </xdr:blipFill>
          <xdr:spPr bwMode="auto">
            <a:xfrm>
              <a:off x="3057525" y="7858125"/>
              <a:ext cx="16573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41</xdr:row>
          <xdr:rowOff>152400</xdr:rowOff>
        </xdr:from>
        <xdr:to>
          <xdr:col>35</xdr:col>
          <xdr:colOff>152400</xdr:colOff>
          <xdr:row>42</xdr:row>
          <xdr:rowOff>495300</xdr:rowOff>
        </xdr:to>
        <xdr:pic>
          <xdr:nvPicPr>
            <xdr:cNvPr id="16388" name="Picture 4">
              <a:extLst>
                <a:ext uri="{FF2B5EF4-FFF2-40B4-BE49-F238E27FC236}">
                  <a16:creationId xmlns:a16="http://schemas.microsoft.com/office/drawing/2014/main" id="{00000000-0008-0000-0300-000004400000}"/>
                </a:ext>
              </a:extLst>
            </xdr:cNvPr>
            <xdr:cNvPicPr>
              <a:picLocks noChangeAspect="1"/>
              <a:extLst>
                <a:ext uri="{84589F7E-364E-4C9E-8A38-B11213B215E9}">
                  <a14:cameraTool cellRange="aprobofirmas4" spid="_x0000_s201773"/>
                </a:ext>
              </a:extLst>
            </xdr:cNvPicPr>
          </xdr:nvPicPr>
          <xdr:blipFill>
            <a:blip xmlns:r="http://schemas.openxmlformats.org/officeDocument/2006/relationships" r:embed="rId4"/>
            <a:srcRect/>
            <a:stretch>
              <a:fillRect/>
            </a:stretch>
          </xdr:blipFill>
          <xdr:spPr bwMode="auto">
            <a:xfrm>
              <a:off x="4743450" y="7839075"/>
              <a:ext cx="166687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161925</xdr:rowOff>
        </xdr:from>
        <xdr:to>
          <xdr:col>17</xdr:col>
          <xdr:colOff>19050</xdr:colOff>
          <xdr:row>42</xdr:row>
          <xdr:rowOff>466725</xdr:rowOff>
        </xdr:to>
        <xdr:pic>
          <xdr:nvPicPr>
            <xdr:cNvPr id="16389" name="Picture 5">
              <a:extLst>
                <a:ext uri="{FF2B5EF4-FFF2-40B4-BE49-F238E27FC236}">
                  <a16:creationId xmlns:a16="http://schemas.microsoft.com/office/drawing/2014/main" id="{00000000-0008-0000-0300-000005400000}"/>
                </a:ext>
              </a:extLst>
            </xdr:cNvPr>
            <xdr:cNvPicPr>
              <a:picLocks noChangeAspect="1"/>
              <a:extLst>
                <a:ext uri="{84589F7E-364E-4C9E-8A38-B11213B215E9}">
                  <a14:cameraTool cellRange="elaborofirmas4" spid="_x0000_s201774"/>
                </a:ext>
              </a:extLst>
            </xdr:cNvPicPr>
          </xdr:nvPicPr>
          <xdr:blipFill>
            <a:blip xmlns:r="http://schemas.openxmlformats.org/officeDocument/2006/relationships" r:embed="rId5"/>
            <a:srcRect/>
            <a:stretch>
              <a:fillRect/>
            </a:stretch>
          </xdr:blipFill>
          <xdr:spPr bwMode="auto">
            <a:xfrm>
              <a:off x="1428750" y="7848600"/>
              <a:ext cx="1647825" cy="476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65087</xdr:colOff>
      <xdr:row>0</xdr:row>
      <xdr:rowOff>57150</xdr:rowOff>
    </xdr:from>
    <xdr:to>
      <xdr:col>2</xdr:col>
      <xdr:colOff>361949</xdr:colOff>
      <xdr:row>4</xdr:row>
      <xdr:rowOff>126998</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87" y="57150"/>
          <a:ext cx="1373187" cy="888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22</xdr:row>
      <xdr:rowOff>0</xdr:rowOff>
    </xdr:from>
    <xdr:to>
      <xdr:col>4</xdr:col>
      <xdr:colOff>731227</xdr:colOff>
      <xdr:row>22</xdr:row>
      <xdr:rowOff>0</xdr:rowOff>
    </xdr:to>
    <xdr:cxnSp macro="">
      <xdr:nvCxnSpPr>
        <xdr:cNvPr id="11" name="Conector recto 10">
          <a:extLst>
            <a:ext uri="{FF2B5EF4-FFF2-40B4-BE49-F238E27FC236}">
              <a16:creationId xmlns:a16="http://schemas.microsoft.com/office/drawing/2014/main" id="{00000000-0008-0000-0400-00000B000000}"/>
            </a:ext>
          </a:extLst>
        </xdr:cNvPr>
        <xdr:cNvCxnSpPr/>
      </xdr:nvCxnSpPr>
      <xdr:spPr>
        <a:xfrm>
          <a:off x="1590675" y="865822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22</xdr:row>
      <xdr:rowOff>0</xdr:rowOff>
    </xdr:from>
    <xdr:to>
      <xdr:col>10</xdr:col>
      <xdr:colOff>502627</xdr:colOff>
      <xdr:row>22</xdr:row>
      <xdr:rowOff>0</xdr:rowOff>
    </xdr:to>
    <xdr:cxnSp macro="">
      <xdr:nvCxnSpPr>
        <xdr:cNvPr id="14" name="Conector recto 10">
          <a:extLst>
            <a:ext uri="{FF2B5EF4-FFF2-40B4-BE49-F238E27FC236}">
              <a16:creationId xmlns:a16="http://schemas.microsoft.com/office/drawing/2014/main" id="{00000000-0008-0000-0400-00000E000000}"/>
            </a:ext>
          </a:extLst>
        </xdr:cNvPr>
        <xdr:cNvCxnSpPr/>
      </xdr:nvCxnSpPr>
      <xdr:spPr>
        <a:xfrm>
          <a:off x="4991100" y="85153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22</xdr:row>
      <xdr:rowOff>0</xdr:rowOff>
    </xdr:from>
    <xdr:to>
      <xdr:col>7</xdr:col>
      <xdr:colOff>721702</xdr:colOff>
      <xdr:row>22</xdr:row>
      <xdr:rowOff>0</xdr:rowOff>
    </xdr:to>
    <xdr:cxnSp macro="">
      <xdr:nvCxnSpPr>
        <xdr:cNvPr id="15" name="Conector recto 10">
          <a:extLst>
            <a:ext uri="{FF2B5EF4-FFF2-40B4-BE49-F238E27FC236}">
              <a16:creationId xmlns:a16="http://schemas.microsoft.com/office/drawing/2014/main" id="{00000000-0008-0000-0400-00000F000000}"/>
            </a:ext>
          </a:extLst>
        </xdr:cNvPr>
        <xdr:cNvCxnSpPr/>
      </xdr:nvCxnSpPr>
      <xdr:spPr>
        <a:xfrm>
          <a:off x="3267075" y="85153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304800</xdr:colOff>
      <xdr:row>19</xdr:row>
      <xdr:rowOff>323850</xdr:rowOff>
    </xdr:from>
    <xdr:to>
      <xdr:col>14</xdr:col>
      <xdr:colOff>464527</xdr:colOff>
      <xdr:row>19</xdr:row>
      <xdr:rowOff>334839</xdr:rowOff>
    </xdr:to>
    <xdr:cxnSp macro="">
      <xdr:nvCxnSpPr>
        <xdr:cNvPr id="9" name="Conector recto 9">
          <a:extLst>
            <a:ext uri="{FF2B5EF4-FFF2-40B4-BE49-F238E27FC236}">
              <a16:creationId xmlns:a16="http://schemas.microsoft.com/office/drawing/2014/main" id="{00000000-0008-0000-0400-000009000000}"/>
            </a:ext>
          </a:extLst>
        </xdr:cNvPr>
        <xdr:cNvCxnSpPr/>
      </xdr:nvCxnSpPr>
      <xdr:spPr>
        <a:xfrm flipV="1">
          <a:off x="7658100" y="717232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21</xdr:row>
          <xdr:rowOff>28575</xdr:rowOff>
        </xdr:from>
        <xdr:to>
          <xdr:col>7</xdr:col>
          <xdr:colOff>828675</xdr:colOff>
          <xdr:row>21</xdr:row>
          <xdr:rowOff>523875</xdr:rowOff>
        </xdr:to>
        <xdr:pic>
          <xdr:nvPicPr>
            <xdr:cNvPr id="17411" name="Picture 3">
              <a:extLst>
                <a:ext uri="{FF2B5EF4-FFF2-40B4-BE49-F238E27FC236}">
                  <a16:creationId xmlns:a16="http://schemas.microsoft.com/office/drawing/2014/main" id="{00000000-0008-0000-0400-000003440000}"/>
                </a:ext>
              </a:extLst>
            </xdr:cNvPr>
            <xdr:cNvPicPr>
              <a:picLocks noChangeAspect="1"/>
              <a:extLst>
                <a:ext uri="{84589F7E-364E-4C9E-8A38-B11213B215E9}">
                  <a14:cameraTool cellRange="revisofirmas5" spid="_x0000_s200751"/>
                </a:ext>
              </a:extLst>
            </xdr:cNvPicPr>
          </xdr:nvPicPr>
          <xdr:blipFill>
            <a:blip xmlns:r="http://schemas.openxmlformats.org/officeDocument/2006/relationships" r:embed="rId2"/>
            <a:srcRect/>
            <a:stretch>
              <a:fillRect/>
            </a:stretch>
          </xdr:blipFill>
          <xdr:spPr bwMode="auto">
            <a:xfrm>
              <a:off x="3114675" y="7562850"/>
              <a:ext cx="1647825" cy="49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28575</xdr:rowOff>
        </xdr:from>
        <xdr:to>
          <xdr:col>10</xdr:col>
          <xdr:colOff>609600</xdr:colOff>
          <xdr:row>21</xdr:row>
          <xdr:rowOff>542925</xdr:rowOff>
        </xdr:to>
        <xdr:pic>
          <xdr:nvPicPr>
            <xdr:cNvPr id="17412" name="Picture 4">
              <a:extLst>
                <a:ext uri="{FF2B5EF4-FFF2-40B4-BE49-F238E27FC236}">
                  <a16:creationId xmlns:a16="http://schemas.microsoft.com/office/drawing/2014/main" id="{00000000-0008-0000-0400-000004440000}"/>
                </a:ext>
              </a:extLst>
            </xdr:cNvPr>
            <xdr:cNvPicPr>
              <a:picLocks noChangeAspect="1"/>
              <a:extLst>
                <a:ext uri="{84589F7E-364E-4C9E-8A38-B11213B215E9}">
                  <a14:cameraTool cellRange="aprobofirmas5" spid="_x0000_s200752"/>
                </a:ext>
              </a:extLst>
            </xdr:cNvPicPr>
          </xdr:nvPicPr>
          <xdr:blipFill>
            <a:blip xmlns:r="http://schemas.openxmlformats.org/officeDocument/2006/relationships" r:embed="rId3"/>
            <a:srcRect/>
            <a:stretch>
              <a:fillRect/>
            </a:stretch>
          </xdr:blipFill>
          <xdr:spPr bwMode="auto">
            <a:xfrm>
              <a:off x="4781550" y="7562850"/>
              <a:ext cx="170497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28575</xdr:rowOff>
        </xdr:from>
        <xdr:to>
          <xdr:col>5</xdr:col>
          <xdr:colOff>28575</xdr:colOff>
          <xdr:row>21</xdr:row>
          <xdr:rowOff>533400</xdr:rowOff>
        </xdr:to>
        <xdr:pic>
          <xdr:nvPicPr>
            <xdr:cNvPr id="17413" name="Picture 5">
              <a:extLst>
                <a:ext uri="{FF2B5EF4-FFF2-40B4-BE49-F238E27FC236}">
                  <a16:creationId xmlns:a16="http://schemas.microsoft.com/office/drawing/2014/main" id="{00000000-0008-0000-0400-000005440000}"/>
                </a:ext>
              </a:extLst>
            </xdr:cNvPr>
            <xdr:cNvPicPr>
              <a:picLocks noChangeAspect="1"/>
              <a:extLst>
                <a:ext uri="{84589F7E-364E-4C9E-8A38-B11213B215E9}">
                  <a14:cameraTool cellRange="elaborofirmas5" spid="_x0000_s200753"/>
                </a:ext>
              </a:extLst>
            </xdr:cNvPicPr>
          </xdr:nvPicPr>
          <xdr:blipFill>
            <a:blip xmlns:r="http://schemas.openxmlformats.org/officeDocument/2006/relationships" r:embed="rId4"/>
            <a:srcRect/>
            <a:stretch>
              <a:fillRect/>
            </a:stretch>
          </xdr:blipFill>
          <xdr:spPr bwMode="auto">
            <a:xfrm>
              <a:off x="1476375" y="7562850"/>
              <a:ext cx="1619250"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257175</xdr:colOff>
      <xdr:row>0</xdr:row>
      <xdr:rowOff>38100</xdr:rowOff>
    </xdr:from>
    <xdr:to>
      <xdr:col>2</xdr:col>
      <xdr:colOff>209550</xdr:colOff>
      <xdr:row>4</xdr:row>
      <xdr:rowOff>133350</xdr:rowOff>
    </xdr:to>
    <xdr:pic>
      <xdr:nvPicPr>
        <xdr:cNvPr id="2" name="Imagen 2">
          <a:extLst>
            <a:ext uri="{FF2B5EF4-FFF2-40B4-BE49-F238E27FC236}">
              <a16:creationId xmlns:a16="http://schemas.microsoft.com/office/drawing/2014/main" id="{23ED94E9-02F1-4DC1-AB15-D05784EFF3E8}"/>
            </a:ext>
          </a:extLst>
        </xdr:cNvPr>
        <xdr:cNvPicPr>
          <a:picLocks noChangeAspect="1"/>
        </xdr:cNvPicPr>
      </xdr:nvPicPr>
      <xdr:blipFill>
        <a:blip xmlns:r="http://schemas.openxmlformats.org/officeDocument/2006/relationships" r:embed="rId1" cstate="print"/>
        <a:srcRect/>
        <a:stretch>
          <a:fillRect/>
        </a:stretch>
      </xdr:blipFill>
      <xdr:spPr bwMode="auto">
        <a:xfrm>
          <a:off x="257175" y="38100"/>
          <a:ext cx="981075" cy="828675"/>
        </a:xfrm>
        <a:prstGeom prst="rect">
          <a:avLst/>
        </a:prstGeom>
        <a:noFill/>
        <a:ln w="9525">
          <a:noFill/>
          <a:miter lim="800000"/>
          <a:headEnd/>
          <a:tailEnd/>
        </a:ln>
      </xdr:spPr>
    </xdr:pic>
    <xdr:clientData/>
  </xdr:twoCellAnchor>
  <xdr:twoCellAnchor>
    <xdr:from>
      <xdr:col>5</xdr:col>
      <xdr:colOff>104775</xdr:colOff>
      <xdr:row>30</xdr:row>
      <xdr:rowOff>0</xdr:rowOff>
    </xdr:from>
    <xdr:to>
      <xdr:col>7</xdr:col>
      <xdr:colOff>428625</xdr:colOff>
      <xdr:row>30</xdr:row>
      <xdr:rowOff>1588</xdr:rowOff>
    </xdr:to>
    <xdr:cxnSp macro="">
      <xdr:nvCxnSpPr>
        <xdr:cNvPr id="3" name="4 Conector recto">
          <a:extLst>
            <a:ext uri="{FF2B5EF4-FFF2-40B4-BE49-F238E27FC236}">
              <a16:creationId xmlns:a16="http://schemas.microsoft.com/office/drawing/2014/main" id="{E264168D-D2F2-4B9E-9B22-5448D7785686}"/>
            </a:ext>
          </a:extLst>
        </xdr:cNvPr>
        <xdr:cNvCxnSpPr/>
      </xdr:nvCxnSpPr>
      <xdr:spPr>
        <a:xfrm>
          <a:off x="2876550"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123825</xdr:colOff>
      <xdr:row>30</xdr:row>
      <xdr:rowOff>0</xdr:rowOff>
    </xdr:from>
    <xdr:to>
      <xdr:col>10</xdr:col>
      <xdr:colOff>447675</xdr:colOff>
      <xdr:row>30</xdr:row>
      <xdr:rowOff>1588</xdr:rowOff>
    </xdr:to>
    <xdr:cxnSp macro="">
      <xdr:nvCxnSpPr>
        <xdr:cNvPr id="4" name="5 Conector recto">
          <a:extLst>
            <a:ext uri="{FF2B5EF4-FFF2-40B4-BE49-F238E27FC236}">
              <a16:creationId xmlns:a16="http://schemas.microsoft.com/office/drawing/2014/main" id="{BB86D39F-1493-40D4-8BE6-23BF0E831CC9}"/>
            </a:ext>
          </a:extLst>
        </xdr:cNvPr>
        <xdr:cNvCxnSpPr/>
      </xdr:nvCxnSpPr>
      <xdr:spPr>
        <a:xfrm>
          <a:off x="4638675"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76200</xdr:colOff>
      <xdr:row>30</xdr:row>
      <xdr:rowOff>0</xdr:rowOff>
    </xdr:from>
    <xdr:to>
      <xdr:col>4</xdr:col>
      <xdr:colOff>400050</xdr:colOff>
      <xdr:row>30</xdr:row>
      <xdr:rowOff>1588</xdr:rowOff>
    </xdr:to>
    <xdr:cxnSp macro="">
      <xdr:nvCxnSpPr>
        <xdr:cNvPr id="5" name="6 Conector recto">
          <a:extLst>
            <a:ext uri="{FF2B5EF4-FFF2-40B4-BE49-F238E27FC236}">
              <a16:creationId xmlns:a16="http://schemas.microsoft.com/office/drawing/2014/main" id="{12D1900F-83E0-4510-B27F-6EB3BD4E22B3}"/>
            </a:ext>
          </a:extLst>
        </xdr:cNvPr>
        <xdr:cNvCxnSpPr/>
      </xdr:nvCxnSpPr>
      <xdr:spPr>
        <a:xfrm>
          <a:off x="1104900"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29</xdr:row>
          <xdr:rowOff>38100</xdr:rowOff>
        </xdr:from>
        <xdr:to>
          <xdr:col>4</xdr:col>
          <xdr:colOff>352425</xdr:colOff>
          <xdr:row>29</xdr:row>
          <xdr:rowOff>466725</xdr:rowOff>
        </xdr:to>
        <xdr:pic>
          <xdr:nvPicPr>
            <xdr:cNvPr id="6" name="Imagen 30">
              <a:extLst>
                <a:ext uri="{FF2B5EF4-FFF2-40B4-BE49-F238E27FC236}">
                  <a16:creationId xmlns:a16="http://schemas.microsoft.com/office/drawing/2014/main" id="{2C83BBAA-04BC-4285-B54C-6BE9DF062592}"/>
                </a:ext>
              </a:extLst>
            </xdr:cNvPr>
            <xdr:cNvPicPr>
              <a:picLocks noChangeAspect="1" noChangeArrowheads="1"/>
              <a:extLst>
                <a:ext uri="{84589F7E-364E-4C9E-8A38-B11213B215E9}">
                  <a14:cameraTool cellRange="elaborofirmash" spid="_x0000_s103273"/>
                </a:ext>
              </a:extLst>
            </xdr:cNvPicPr>
          </xdr:nvPicPr>
          <xdr:blipFill>
            <a:blip xmlns:r="http://schemas.openxmlformats.org/officeDocument/2006/relationships" r:embed="rId2"/>
            <a:srcRect/>
            <a:stretch>
              <a:fillRect/>
            </a:stretch>
          </xdr:blipFill>
          <xdr:spPr bwMode="auto">
            <a:xfrm>
              <a:off x="1028700" y="7581900"/>
              <a:ext cx="1514475" cy="4286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47626</xdr:rowOff>
        </xdr:from>
        <xdr:to>
          <xdr:col>7</xdr:col>
          <xdr:colOff>200025</xdr:colOff>
          <xdr:row>29</xdr:row>
          <xdr:rowOff>447676</xdr:rowOff>
        </xdr:to>
        <xdr:pic>
          <xdr:nvPicPr>
            <xdr:cNvPr id="7" name="Imagen 2">
              <a:extLst>
                <a:ext uri="{FF2B5EF4-FFF2-40B4-BE49-F238E27FC236}">
                  <a16:creationId xmlns:a16="http://schemas.microsoft.com/office/drawing/2014/main" id="{741DD7FF-53D5-4C02-AD53-165AE002423D}"/>
                </a:ext>
              </a:extLst>
            </xdr:cNvPr>
            <xdr:cNvPicPr>
              <a:picLocks noChangeAspect="1" noChangeArrowheads="1"/>
              <a:extLst>
                <a:ext uri="{84589F7E-364E-4C9E-8A38-B11213B215E9}">
                  <a14:cameraTool cellRange="revisofirmash" spid="_x0000_s103274"/>
                </a:ext>
              </a:extLst>
            </xdr:cNvPicPr>
          </xdr:nvPicPr>
          <xdr:blipFill>
            <a:blip xmlns:r="http://schemas.openxmlformats.org/officeDocument/2006/relationships" r:embed="rId3"/>
            <a:srcRect/>
            <a:stretch>
              <a:fillRect/>
            </a:stretch>
          </xdr:blipFill>
          <xdr:spPr bwMode="auto">
            <a:xfrm>
              <a:off x="2771775" y="7591426"/>
              <a:ext cx="1514475" cy="400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19051</xdr:rowOff>
        </xdr:from>
        <xdr:to>
          <xdr:col>10</xdr:col>
          <xdr:colOff>352425</xdr:colOff>
          <xdr:row>29</xdr:row>
          <xdr:rowOff>457201</xdr:rowOff>
        </xdr:to>
        <xdr:pic>
          <xdr:nvPicPr>
            <xdr:cNvPr id="8" name="Imagen 3">
              <a:extLst>
                <a:ext uri="{FF2B5EF4-FFF2-40B4-BE49-F238E27FC236}">
                  <a16:creationId xmlns:a16="http://schemas.microsoft.com/office/drawing/2014/main" id="{1ACAC11E-187D-4DF9-8252-210D3674503F}"/>
                </a:ext>
              </a:extLst>
            </xdr:cNvPr>
            <xdr:cNvPicPr>
              <a:picLocks noChangeAspect="1" noChangeArrowheads="1"/>
              <a:extLst>
                <a:ext uri="{84589F7E-364E-4C9E-8A38-B11213B215E9}">
                  <a14:cameraTool cellRange="aprobofirmash" spid="_x0000_s103275"/>
                </a:ext>
              </a:extLst>
            </xdr:cNvPicPr>
          </xdr:nvPicPr>
          <xdr:blipFill>
            <a:blip xmlns:r="http://schemas.openxmlformats.org/officeDocument/2006/relationships" r:embed="rId4"/>
            <a:srcRect/>
            <a:stretch>
              <a:fillRect/>
            </a:stretch>
          </xdr:blipFill>
          <xdr:spPr bwMode="auto">
            <a:xfrm>
              <a:off x="4514850" y="7562851"/>
              <a:ext cx="1514475" cy="4381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257175</xdr:colOff>
      <xdr:row>0</xdr:row>
      <xdr:rowOff>38100</xdr:rowOff>
    </xdr:from>
    <xdr:ext cx="981075" cy="828675"/>
    <xdr:pic>
      <xdr:nvPicPr>
        <xdr:cNvPr id="2" name="Imagen 2">
          <a:extLst>
            <a:ext uri="{FF2B5EF4-FFF2-40B4-BE49-F238E27FC236}">
              <a16:creationId xmlns:a16="http://schemas.microsoft.com/office/drawing/2014/main" id="{2CD0E88D-A3D7-45E4-9C28-A6EDEBBE17FC}"/>
            </a:ext>
          </a:extLst>
        </xdr:cNvPr>
        <xdr:cNvPicPr>
          <a:picLocks noChangeAspect="1"/>
        </xdr:cNvPicPr>
      </xdr:nvPicPr>
      <xdr:blipFill>
        <a:blip xmlns:r="http://schemas.openxmlformats.org/officeDocument/2006/relationships" r:embed="rId1" cstate="print"/>
        <a:srcRect/>
        <a:stretch>
          <a:fillRect/>
        </a:stretch>
      </xdr:blipFill>
      <xdr:spPr bwMode="auto">
        <a:xfrm>
          <a:off x="257175" y="38100"/>
          <a:ext cx="981075" cy="828675"/>
        </a:xfrm>
        <a:prstGeom prst="rect">
          <a:avLst/>
        </a:prstGeom>
        <a:noFill/>
        <a:ln w="9525">
          <a:noFill/>
          <a:miter lim="800000"/>
          <a:headEnd/>
          <a:tailEnd/>
        </a:ln>
      </xdr:spPr>
    </xdr:pic>
    <xdr:clientData/>
  </xdr:oneCellAnchor>
  <xdr:twoCellAnchor>
    <xdr:from>
      <xdr:col>5</xdr:col>
      <xdr:colOff>104775</xdr:colOff>
      <xdr:row>30</xdr:row>
      <xdr:rowOff>0</xdr:rowOff>
    </xdr:from>
    <xdr:to>
      <xdr:col>7</xdr:col>
      <xdr:colOff>428625</xdr:colOff>
      <xdr:row>30</xdr:row>
      <xdr:rowOff>1588</xdr:rowOff>
    </xdr:to>
    <xdr:cxnSp macro="">
      <xdr:nvCxnSpPr>
        <xdr:cNvPr id="3" name="2 Conector recto">
          <a:extLst>
            <a:ext uri="{FF2B5EF4-FFF2-40B4-BE49-F238E27FC236}">
              <a16:creationId xmlns:a16="http://schemas.microsoft.com/office/drawing/2014/main" id="{9315A1C7-E6E4-4B4A-B2E4-FF468CD2C77C}"/>
            </a:ext>
          </a:extLst>
        </xdr:cNvPr>
        <xdr:cNvCxnSpPr/>
      </xdr:nvCxnSpPr>
      <xdr:spPr>
        <a:xfrm>
          <a:off x="2876550" y="8534400"/>
          <a:ext cx="168592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123825</xdr:colOff>
      <xdr:row>30</xdr:row>
      <xdr:rowOff>0</xdr:rowOff>
    </xdr:from>
    <xdr:to>
      <xdr:col>10</xdr:col>
      <xdr:colOff>447675</xdr:colOff>
      <xdr:row>30</xdr:row>
      <xdr:rowOff>1588</xdr:rowOff>
    </xdr:to>
    <xdr:cxnSp macro="">
      <xdr:nvCxnSpPr>
        <xdr:cNvPr id="4" name="3 Conector recto">
          <a:extLst>
            <a:ext uri="{FF2B5EF4-FFF2-40B4-BE49-F238E27FC236}">
              <a16:creationId xmlns:a16="http://schemas.microsoft.com/office/drawing/2014/main" id="{698C051E-C7D6-4126-8761-52F13F6E230C}"/>
            </a:ext>
          </a:extLst>
        </xdr:cNvPr>
        <xdr:cNvCxnSpPr/>
      </xdr:nvCxnSpPr>
      <xdr:spPr>
        <a:xfrm>
          <a:off x="4838700" y="8534400"/>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76200</xdr:colOff>
      <xdr:row>30</xdr:row>
      <xdr:rowOff>0</xdr:rowOff>
    </xdr:from>
    <xdr:to>
      <xdr:col>4</xdr:col>
      <xdr:colOff>400050</xdr:colOff>
      <xdr:row>30</xdr:row>
      <xdr:rowOff>1588</xdr:rowOff>
    </xdr:to>
    <xdr:cxnSp macro="">
      <xdr:nvCxnSpPr>
        <xdr:cNvPr id="5" name="4 Conector recto">
          <a:extLst>
            <a:ext uri="{FF2B5EF4-FFF2-40B4-BE49-F238E27FC236}">
              <a16:creationId xmlns:a16="http://schemas.microsoft.com/office/drawing/2014/main" id="{22619CAB-29C0-4DE0-A25C-6227DF84BDBC}"/>
            </a:ext>
          </a:extLst>
        </xdr:cNvPr>
        <xdr:cNvCxnSpPr/>
      </xdr:nvCxnSpPr>
      <xdr:spPr>
        <a:xfrm>
          <a:off x="1104900" y="8534400"/>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oneCellAnchor>
        <xdr:from>
          <xdr:col>2</xdr:col>
          <xdr:colOff>0</xdr:colOff>
          <xdr:row>29</xdr:row>
          <xdr:rowOff>28575</xdr:rowOff>
        </xdr:from>
        <xdr:ext cx="1514475" cy="447675"/>
        <xdr:pic>
          <xdr:nvPicPr>
            <xdr:cNvPr id="6" name="Imagen 30">
              <a:extLst>
                <a:ext uri="{FF2B5EF4-FFF2-40B4-BE49-F238E27FC236}">
                  <a16:creationId xmlns:a16="http://schemas.microsoft.com/office/drawing/2014/main" id="{A6FCA80E-3EA7-4AE2-BD8C-7764689815F7}"/>
                </a:ext>
              </a:extLst>
            </xdr:cNvPr>
            <xdr:cNvPicPr>
              <a:picLocks noChangeAspect="1" noChangeArrowheads="1"/>
              <a:extLst>
                <a:ext uri="{84589F7E-364E-4C9E-8A38-B11213B215E9}">
                  <a14:cameraTool cellRange="elaborofirmasH" spid="_x0000_s123347"/>
                </a:ext>
              </a:extLst>
            </xdr:cNvPicPr>
          </xdr:nvPicPr>
          <xdr:blipFill>
            <a:blip xmlns:r="http://schemas.openxmlformats.org/officeDocument/2006/relationships" r:embed="rId2"/>
            <a:srcRect/>
            <a:stretch>
              <a:fillRect/>
            </a:stretch>
          </xdr:blipFill>
          <xdr:spPr bwMode="auto">
            <a:xfrm>
              <a:off x="1028700" y="8058150"/>
              <a:ext cx="1514475" cy="447675"/>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29</xdr:row>
          <xdr:rowOff>47626</xdr:rowOff>
        </xdr:from>
        <xdr:ext cx="1514475" cy="438150"/>
        <xdr:pic>
          <xdr:nvPicPr>
            <xdr:cNvPr id="7" name="Imagen 2">
              <a:extLst>
                <a:ext uri="{FF2B5EF4-FFF2-40B4-BE49-F238E27FC236}">
                  <a16:creationId xmlns:a16="http://schemas.microsoft.com/office/drawing/2014/main" id="{F9DA90B2-D85D-4AB4-A9DA-75A65D9D0E08}"/>
                </a:ext>
              </a:extLst>
            </xdr:cNvPr>
            <xdr:cNvPicPr>
              <a:picLocks noChangeAspect="1" noChangeArrowheads="1"/>
              <a:extLst>
                <a:ext uri="{84589F7E-364E-4C9E-8A38-B11213B215E9}">
                  <a14:cameraTool cellRange="revisofirmasH" spid="_x0000_s123348"/>
                </a:ext>
              </a:extLst>
            </xdr:cNvPicPr>
          </xdr:nvPicPr>
          <xdr:blipFill>
            <a:blip xmlns:r="http://schemas.openxmlformats.org/officeDocument/2006/relationships" r:embed="rId3"/>
            <a:srcRect/>
            <a:stretch>
              <a:fillRect/>
            </a:stretch>
          </xdr:blipFill>
          <xdr:spPr bwMode="auto">
            <a:xfrm>
              <a:off x="2771775" y="8077201"/>
              <a:ext cx="1514475" cy="43815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29</xdr:row>
          <xdr:rowOff>19050</xdr:rowOff>
        </xdr:from>
        <xdr:ext cx="1514475" cy="504825"/>
        <xdr:pic>
          <xdr:nvPicPr>
            <xdr:cNvPr id="8" name="Imagen 3">
              <a:extLst>
                <a:ext uri="{FF2B5EF4-FFF2-40B4-BE49-F238E27FC236}">
                  <a16:creationId xmlns:a16="http://schemas.microsoft.com/office/drawing/2014/main" id="{715D9513-8B9B-4134-8285-60083E1E1EC5}"/>
                </a:ext>
              </a:extLst>
            </xdr:cNvPr>
            <xdr:cNvPicPr>
              <a:picLocks noChangeAspect="1" noChangeArrowheads="1"/>
              <a:extLst>
                <a:ext uri="{84589F7E-364E-4C9E-8A38-B11213B215E9}">
                  <a14:cameraTool cellRange="aprobofirmasH" spid="_x0000_s123349"/>
                </a:ext>
              </a:extLst>
            </xdr:cNvPicPr>
          </xdr:nvPicPr>
          <xdr:blipFill>
            <a:blip xmlns:r="http://schemas.openxmlformats.org/officeDocument/2006/relationships" r:embed="rId4"/>
            <a:srcRect/>
            <a:stretch>
              <a:fillRect/>
            </a:stretch>
          </xdr:blipFill>
          <xdr:spPr bwMode="auto">
            <a:xfrm>
              <a:off x="4714875" y="8048625"/>
              <a:ext cx="1514475" cy="504825"/>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103908</xdr:colOff>
      <xdr:row>0</xdr:row>
      <xdr:rowOff>43295</xdr:rowOff>
    </xdr:from>
    <xdr:to>
      <xdr:col>6</xdr:col>
      <xdr:colOff>103909</xdr:colOff>
      <xdr:row>4</xdr:row>
      <xdr:rowOff>121227</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5569" cy="943841"/>
        </a:xfrm>
        <a:prstGeom prst="rect">
          <a:avLst/>
        </a:prstGeom>
        <a:noFill/>
        <a:ln w="9525">
          <a:noFill/>
          <a:miter lim="800000"/>
          <a:headEnd/>
          <a:tailEnd/>
        </a:ln>
      </xdr:spPr>
    </xdr:pic>
    <xdr:clientData/>
  </xdr:twoCellAnchor>
  <xdr:twoCellAnchor>
    <xdr:from>
      <xdr:col>7</xdr:col>
      <xdr:colOff>25978</xdr:colOff>
      <xdr:row>46</xdr:row>
      <xdr:rowOff>0</xdr:rowOff>
    </xdr:from>
    <xdr:to>
      <xdr:col>15</xdr:col>
      <xdr:colOff>103909</xdr:colOff>
      <xdr:row>46</xdr:row>
      <xdr:rowOff>8659</xdr:rowOff>
    </xdr:to>
    <xdr:cxnSp macro="">
      <xdr:nvCxnSpPr>
        <xdr:cNvPr id="12" name="Conector recto 11">
          <a:extLst>
            <a:ext uri="{FF2B5EF4-FFF2-40B4-BE49-F238E27FC236}">
              <a16:creationId xmlns:a16="http://schemas.microsoft.com/office/drawing/2014/main" id="{00000000-0008-0000-0500-00000C000000}"/>
            </a:ext>
          </a:extLst>
        </xdr:cNvPr>
        <xdr:cNvCxnSpPr/>
      </xdr:nvCxnSpPr>
      <xdr:spPr>
        <a:xfrm>
          <a:off x="1480705" y="8165523"/>
          <a:ext cx="1627909" cy="8659"/>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34637</xdr:colOff>
      <xdr:row>46</xdr:row>
      <xdr:rowOff>0</xdr:rowOff>
    </xdr:from>
    <xdr:to>
      <xdr:col>23</xdr:col>
      <xdr:colOff>155863</xdr:colOff>
      <xdr:row>46</xdr:row>
      <xdr:rowOff>1588</xdr:rowOff>
    </xdr:to>
    <xdr:cxnSp macro="">
      <xdr:nvCxnSpPr>
        <xdr:cNvPr id="13" name="Conector recto 12">
          <a:extLst>
            <a:ext uri="{FF2B5EF4-FFF2-40B4-BE49-F238E27FC236}">
              <a16:creationId xmlns:a16="http://schemas.microsoft.com/office/drawing/2014/main" id="{00000000-0008-0000-0500-00000D000000}"/>
            </a:ext>
          </a:extLst>
        </xdr:cNvPr>
        <xdr:cNvCxnSpPr/>
      </xdr:nvCxnSpPr>
      <xdr:spPr>
        <a:xfrm>
          <a:off x="3212523" y="8165523"/>
          <a:ext cx="1584613"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14" name="Conector recto 13">
          <a:extLst>
            <a:ext uri="{FF2B5EF4-FFF2-40B4-BE49-F238E27FC236}">
              <a16:creationId xmlns:a16="http://schemas.microsoft.com/office/drawing/2014/main" id="{00000000-0008-0000-0500-00000E000000}"/>
            </a:ext>
          </a:extLst>
        </xdr:cNvPr>
        <xdr:cNvCxnSpPr/>
      </xdr:nvCxnSpPr>
      <xdr:spPr>
        <a:xfrm>
          <a:off x="4952999" y="8165523"/>
          <a:ext cx="2008910"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16</xdr:col>
          <xdr:colOff>2597</xdr:colOff>
          <xdr:row>45</xdr:row>
          <xdr:rowOff>36368</xdr:rowOff>
        </xdr:from>
        <xdr:to>
          <xdr:col>22</xdr:col>
          <xdr:colOff>158461</xdr:colOff>
          <xdr:row>45</xdr:row>
          <xdr:rowOff>464993</xdr:rowOff>
        </xdr:to>
        <xdr:pic>
          <xdr:nvPicPr>
            <xdr:cNvPr id="4110" name="Picture 14">
              <a:extLst>
                <a:ext uri="{FF2B5EF4-FFF2-40B4-BE49-F238E27FC236}">
                  <a16:creationId xmlns:a16="http://schemas.microsoft.com/office/drawing/2014/main" id="{00000000-0008-0000-0500-00000E100000}"/>
                </a:ext>
              </a:extLst>
            </xdr:cNvPr>
            <xdr:cNvPicPr>
              <a:picLocks noChangeAspect="1"/>
              <a:extLst>
                <a:ext uri="{84589F7E-364E-4C9E-8A38-B11213B215E9}">
                  <a14:cameraTool cellRange="revisofirmas6" spid="_x0000_s160857"/>
                </a:ext>
              </a:extLst>
            </xdr:cNvPicPr>
          </xdr:nvPicPr>
          <xdr:blipFill>
            <a:blip xmlns:r="http://schemas.openxmlformats.org/officeDocument/2006/relationships" r:embed="rId2"/>
            <a:srcRect/>
            <a:stretch>
              <a:fillRect/>
            </a:stretch>
          </xdr:blipFill>
          <xdr:spPr bwMode="auto">
            <a:xfrm>
              <a:off x="3154506" y="7924800"/>
              <a:ext cx="1428750" cy="4286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866</xdr:colOff>
          <xdr:row>45</xdr:row>
          <xdr:rowOff>38100</xdr:rowOff>
        </xdr:from>
        <xdr:to>
          <xdr:col>34</xdr:col>
          <xdr:colOff>105640</xdr:colOff>
          <xdr:row>45</xdr:row>
          <xdr:rowOff>419100</xdr:rowOff>
        </xdr:to>
        <xdr:pic>
          <xdr:nvPicPr>
            <xdr:cNvPr id="4111" name="Picture 15">
              <a:extLst>
                <a:ext uri="{FF2B5EF4-FFF2-40B4-BE49-F238E27FC236}">
                  <a16:creationId xmlns:a16="http://schemas.microsoft.com/office/drawing/2014/main" id="{00000000-0008-0000-0500-00000F100000}"/>
                </a:ext>
              </a:extLst>
            </xdr:cNvPr>
            <xdr:cNvPicPr>
              <a:picLocks noChangeAspect="1"/>
              <a:extLst>
                <a:ext uri="{84589F7E-364E-4C9E-8A38-B11213B215E9}">
                  <a14:cameraTool cellRange="aprobofirmas6" spid="_x0000_s160858"/>
                </a:ext>
              </a:extLst>
            </xdr:cNvPicPr>
          </xdr:nvPicPr>
          <xdr:blipFill>
            <a:blip xmlns:r="http://schemas.openxmlformats.org/officeDocument/2006/relationships" r:embed="rId3"/>
            <a:srcRect/>
            <a:stretch>
              <a:fillRect/>
            </a:stretch>
          </xdr:blipFill>
          <xdr:spPr bwMode="auto">
            <a:xfrm>
              <a:off x="4642139" y="7926532"/>
              <a:ext cx="1663411" cy="381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195696</xdr:colOff>
          <xdr:row>45</xdr:row>
          <xdr:rowOff>36368</xdr:rowOff>
        </xdr:from>
        <xdr:to>
          <xdr:col>15</xdr:col>
          <xdr:colOff>101312</xdr:colOff>
          <xdr:row>45</xdr:row>
          <xdr:rowOff>455468</xdr:rowOff>
        </xdr:to>
        <xdr:pic>
          <xdr:nvPicPr>
            <xdr:cNvPr id="4112" name="Picture 16">
              <a:extLst>
                <a:ext uri="{FF2B5EF4-FFF2-40B4-BE49-F238E27FC236}">
                  <a16:creationId xmlns:a16="http://schemas.microsoft.com/office/drawing/2014/main" id="{00000000-0008-0000-0500-000010100000}"/>
                </a:ext>
              </a:extLst>
            </xdr:cNvPr>
            <xdr:cNvPicPr>
              <a:picLocks noChangeAspect="1"/>
              <a:extLst>
                <a:ext uri="{84589F7E-364E-4C9E-8A38-B11213B215E9}">
                  <a14:cameraTool cellRange="elaborofirmas6" spid="_x0000_s160859"/>
                </a:ext>
              </a:extLst>
            </xdr:cNvPicPr>
          </xdr:nvPicPr>
          <xdr:blipFill>
            <a:blip xmlns:r="http://schemas.openxmlformats.org/officeDocument/2006/relationships" r:embed="rId4"/>
            <a:srcRect/>
            <a:stretch>
              <a:fillRect/>
            </a:stretch>
          </xdr:blipFill>
          <xdr:spPr bwMode="auto">
            <a:xfrm>
              <a:off x="1451264" y="7924800"/>
              <a:ext cx="1620116" cy="4191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103908</xdr:colOff>
      <xdr:row>0</xdr:row>
      <xdr:rowOff>43295</xdr:rowOff>
    </xdr:from>
    <xdr:to>
      <xdr:col>6</xdr:col>
      <xdr:colOff>103909</xdr:colOff>
      <xdr:row>4</xdr:row>
      <xdr:rowOff>121227</xdr:rowOff>
    </xdr:to>
    <xdr:pic>
      <xdr:nvPicPr>
        <xdr:cNvPr id="9" name="Imagen 2">
          <a:extLst>
            <a:ext uri="{FF2B5EF4-FFF2-40B4-BE49-F238E27FC236}">
              <a16:creationId xmlns:a16="http://schemas.microsoft.com/office/drawing/2014/main" id="{227D4329-86DE-4039-B93B-234FC6B22C5B}"/>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7301" cy="944707"/>
        </a:xfrm>
        <a:prstGeom prst="rect">
          <a:avLst/>
        </a:prstGeom>
        <a:noFill/>
        <a:ln w="9525">
          <a:noFill/>
          <a:miter lim="800000"/>
          <a:headEnd/>
          <a:tailEnd/>
        </a:ln>
      </xdr:spPr>
    </xdr:pic>
    <xdr:clientData/>
  </xdr:twoCellAnchor>
  <xdr:twoCellAnchor>
    <xdr:from>
      <xdr:col>16</xdr:col>
      <xdr:colOff>34637</xdr:colOff>
      <xdr:row>46</xdr:row>
      <xdr:rowOff>0</xdr:rowOff>
    </xdr:from>
    <xdr:to>
      <xdr:col>23</xdr:col>
      <xdr:colOff>155863</xdr:colOff>
      <xdr:row>46</xdr:row>
      <xdr:rowOff>1588</xdr:rowOff>
    </xdr:to>
    <xdr:cxnSp macro="">
      <xdr:nvCxnSpPr>
        <xdr:cNvPr id="11" name="Conector recto 10">
          <a:extLst>
            <a:ext uri="{FF2B5EF4-FFF2-40B4-BE49-F238E27FC236}">
              <a16:creationId xmlns:a16="http://schemas.microsoft.com/office/drawing/2014/main" id="{A5214A3D-82B6-433F-B020-B978339AC5B4}"/>
            </a:ext>
          </a:extLst>
        </xdr:cNvPr>
        <xdr:cNvCxnSpPr/>
      </xdr:nvCxnSpPr>
      <xdr:spPr>
        <a:xfrm>
          <a:off x="3177887" y="8401050"/>
          <a:ext cx="161665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15" name="Conector recto 14">
          <a:extLst>
            <a:ext uri="{FF2B5EF4-FFF2-40B4-BE49-F238E27FC236}">
              <a16:creationId xmlns:a16="http://schemas.microsoft.com/office/drawing/2014/main" id="{C2C5D1AF-A83C-4E80-A034-951C2E92C031}"/>
            </a:ext>
          </a:extLst>
        </xdr:cNvPr>
        <xdr:cNvCxnSpPr/>
      </xdr:nvCxnSpPr>
      <xdr:spPr>
        <a:xfrm>
          <a:off x="4903642" y="8401050"/>
          <a:ext cx="156210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103908</xdr:colOff>
      <xdr:row>0</xdr:row>
      <xdr:rowOff>43295</xdr:rowOff>
    </xdr:from>
    <xdr:to>
      <xdr:col>6</xdr:col>
      <xdr:colOff>103909</xdr:colOff>
      <xdr:row>4</xdr:row>
      <xdr:rowOff>121227</xdr:rowOff>
    </xdr:to>
    <xdr:pic>
      <xdr:nvPicPr>
        <xdr:cNvPr id="19" name="Imagen 2">
          <a:extLst>
            <a:ext uri="{FF2B5EF4-FFF2-40B4-BE49-F238E27FC236}">
              <a16:creationId xmlns:a16="http://schemas.microsoft.com/office/drawing/2014/main" id="{CADFFE03-9A53-40D8-A039-407CD90A60A6}"/>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7301" cy="944707"/>
        </a:xfrm>
        <a:prstGeom prst="rect">
          <a:avLst/>
        </a:prstGeom>
        <a:noFill/>
        <a:ln w="9525">
          <a:noFill/>
          <a:miter lim="800000"/>
          <a:headEnd/>
          <a:tailEnd/>
        </a:ln>
      </xdr:spPr>
    </xdr:pic>
    <xdr:clientData/>
  </xdr:twoCellAnchor>
  <xdr:twoCellAnchor>
    <xdr:from>
      <xdr:col>16</xdr:col>
      <xdr:colOff>34637</xdr:colOff>
      <xdr:row>46</xdr:row>
      <xdr:rowOff>0</xdr:rowOff>
    </xdr:from>
    <xdr:to>
      <xdr:col>23</xdr:col>
      <xdr:colOff>155863</xdr:colOff>
      <xdr:row>46</xdr:row>
      <xdr:rowOff>1588</xdr:rowOff>
    </xdr:to>
    <xdr:cxnSp macro="">
      <xdr:nvCxnSpPr>
        <xdr:cNvPr id="21" name="Conector recto 20">
          <a:extLst>
            <a:ext uri="{FF2B5EF4-FFF2-40B4-BE49-F238E27FC236}">
              <a16:creationId xmlns:a16="http://schemas.microsoft.com/office/drawing/2014/main" id="{7BC1BC1A-8740-474D-A5DD-0EF88F98FFD6}"/>
            </a:ext>
          </a:extLst>
        </xdr:cNvPr>
        <xdr:cNvCxnSpPr/>
      </xdr:nvCxnSpPr>
      <xdr:spPr>
        <a:xfrm>
          <a:off x="3177887" y="8401050"/>
          <a:ext cx="161665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22" name="Conector recto 21">
          <a:extLst>
            <a:ext uri="{FF2B5EF4-FFF2-40B4-BE49-F238E27FC236}">
              <a16:creationId xmlns:a16="http://schemas.microsoft.com/office/drawing/2014/main" id="{0EF138CA-E75A-48C4-8A16-2A57637EEB69}"/>
            </a:ext>
          </a:extLst>
        </xdr:cNvPr>
        <xdr:cNvCxnSpPr/>
      </xdr:nvCxnSpPr>
      <xdr:spPr>
        <a:xfrm>
          <a:off x="4903642" y="8401050"/>
          <a:ext cx="156210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161925</xdr:colOff>
      <xdr:row>23</xdr:row>
      <xdr:rowOff>76201</xdr:rowOff>
    </xdr:from>
    <xdr:to>
      <xdr:col>8</xdr:col>
      <xdr:colOff>476250</xdr:colOff>
      <xdr:row>40</xdr:row>
      <xdr:rowOff>9525</xdr:rowOff>
    </xdr:to>
    <xdr:graphicFrame macro="">
      <xdr:nvGraphicFramePr>
        <xdr:cNvPr id="2" name="Chart 10">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1438275</xdr:colOff>
      <xdr:row>52</xdr:row>
      <xdr:rowOff>47625</xdr:rowOff>
    </xdr:from>
    <xdr:to>
      <xdr:col>13</xdr:col>
      <xdr:colOff>609600</xdr:colOff>
      <xdr:row>55</xdr:row>
      <xdr:rowOff>53216</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906000" y="10163175"/>
          <a:ext cx="885825" cy="519941"/>
        </a:xfrm>
        <a:prstGeom prst="rect">
          <a:avLst/>
        </a:prstGeom>
      </xdr:spPr>
    </xdr:pic>
    <xdr:clientData/>
  </xdr:twoCellAnchor>
  <xdr:twoCellAnchor editAs="oneCell">
    <xdr:from>
      <xdr:col>11</xdr:col>
      <xdr:colOff>209550</xdr:colOff>
      <xdr:row>50</xdr:row>
      <xdr:rowOff>304800</xdr:rowOff>
    </xdr:from>
    <xdr:to>
      <xdr:col>12</xdr:col>
      <xdr:colOff>409575</xdr:colOff>
      <xdr:row>55</xdr:row>
      <xdr:rowOff>9657</xdr:rowOff>
    </xdr:to>
    <xdr:pic>
      <xdr:nvPicPr>
        <xdr:cNvPr id="9" name="Imagen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7334250" y="9848850"/>
          <a:ext cx="1562100" cy="743082"/>
        </a:xfrm>
        <a:prstGeom prst="rect">
          <a:avLst/>
        </a:prstGeom>
      </xdr:spPr>
    </xdr:pic>
    <xdr:clientData/>
  </xdr:twoCellAnchor>
  <xdr:twoCellAnchor editAs="oneCell">
    <xdr:from>
      <xdr:col>12</xdr:col>
      <xdr:colOff>381001</xdr:colOff>
      <xdr:row>50</xdr:row>
      <xdr:rowOff>219075</xdr:rowOff>
    </xdr:from>
    <xdr:to>
      <xdr:col>12</xdr:col>
      <xdr:colOff>907597</xdr:colOff>
      <xdr:row>52</xdr:row>
      <xdr:rowOff>152400</xdr:rowOff>
    </xdr:to>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8791576" y="9848850"/>
          <a:ext cx="526596" cy="457200"/>
        </a:xfrm>
        <a:prstGeom prst="rect">
          <a:avLst/>
        </a:prstGeom>
      </xdr:spPr>
    </xdr:pic>
    <xdr:clientData/>
  </xdr:twoCellAnchor>
  <xdr:twoCellAnchor editAs="oneCell">
    <xdr:from>
      <xdr:col>0</xdr:col>
      <xdr:colOff>95250</xdr:colOff>
      <xdr:row>0</xdr:row>
      <xdr:rowOff>66676</xdr:rowOff>
    </xdr:from>
    <xdr:to>
      <xdr:col>1</xdr:col>
      <xdr:colOff>571501</xdr:colOff>
      <xdr:row>4</xdr:row>
      <xdr:rowOff>95251</xdr:rowOff>
    </xdr:to>
    <xdr:pic>
      <xdr:nvPicPr>
        <xdr:cNvPr id="13" name="Imagen 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cstate="print"/>
        <a:srcRect/>
        <a:stretch>
          <a:fillRect/>
        </a:stretch>
      </xdr:blipFill>
      <xdr:spPr bwMode="auto">
        <a:xfrm>
          <a:off x="95250" y="66676"/>
          <a:ext cx="1257301" cy="762000"/>
        </a:xfrm>
        <a:prstGeom prst="rect">
          <a:avLst/>
        </a:prstGeom>
        <a:noFill/>
        <a:ln w="9525">
          <a:noFill/>
          <a:miter lim="800000"/>
          <a:headEnd/>
          <a:tailEnd/>
        </a:ln>
      </xdr:spPr>
    </xdr:pic>
    <xdr:clientData/>
  </xdr:twoCellAnchor>
  <xdr:twoCellAnchor>
    <xdr:from>
      <xdr:col>11</xdr:col>
      <xdr:colOff>19050</xdr:colOff>
      <xdr:row>43</xdr:row>
      <xdr:rowOff>171450</xdr:rowOff>
    </xdr:from>
    <xdr:to>
      <xdr:col>12</xdr:col>
      <xdr:colOff>340702</xdr:colOff>
      <xdr:row>43</xdr:row>
      <xdr:rowOff>172914</xdr:rowOff>
    </xdr:to>
    <xdr:cxnSp macro="">
      <xdr:nvCxnSpPr>
        <xdr:cNvPr id="14" name="Conector recto 22">
          <a:extLst>
            <a:ext uri="{FF2B5EF4-FFF2-40B4-BE49-F238E27FC236}">
              <a16:creationId xmlns:a16="http://schemas.microsoft.com/office/drawing/2014/main" id="{00000000-0008-0000-0600-00000E000000}"/>
            </a:ext>
          </a:extLst>
        </xdr:cNvPr>
        <xdr:cNvCxnSpPr/>
      </xdr:nvCxnSpPr>
      <xdr:spPr>
        <a:xfrm flipV="1">
          <a:off x="7143750" y="7934325"/>
          <a:ext cx="1683727" cy="14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133350</xdr:colOff>
      <xdr:row>46</xdr:row>
      <xdr:rowOff>0</xdr:rowOff>
    </xdr:from>
    <xdr:to>
      <xdr:col>9</xdr:col>
      <xdr:colOff>227268</xdr:colOff>
      <xdr:row>46</xdr:row>
      <xdr:rowOff>0</xdr:rowOff>
    </xdr:to>
    <xdr:cxnSp macro="">
      <xdr:nvCxnSpPr>
        <xdr:cNvPr id="15" name="Conector recto 13">
          <a:extLst>
            <a:ext uri="{FF2B5EF4-FFF2-40B4-BE49-F238E27FC236}">
              <a16:creationId xmlns:a16="http://schemas.microsoft.com/office/drawing/2014/main" id="{00000000-0008-0000-0600-00000F000000}"/>
            </a:ext>
          </a:extLst>
        </xdr:cNvPr>
        <xdr:cNvCxnSpPr/>
      </xdr:nvCxnSpPr>
      <xdr:spPr>
        <a:xfrm>
          <a:off x="4991100" y="86772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142875</xdr:colOff>
      <xdr:row>46</xdr:row>
      <xdr:rowOff>0</xdr:rowOff>
    </xdr:from>
    <xdr:to>
      <xdr:col>6</xdr:col>
      <xdr:colOff>922593</xdr:colOff>
      <xdr:row>46</xdr:row>
      <xdr:rowOff>0</xdr:rowOff>
    </xdr:to>
    <xdr:cxnSp macro="">
      <xdr:nvCxnSpPr>
        <xdr:cNvPr id="16" name="Conector recto 13">
          <a:extLst>
            <a:ext uri="{FF2B5EF4-FFF2-40B4-BE49-F238E27FC236}">
              <a16:creationId xmlns:a16="http://schemas.microsoft.com/office/drawing/2014/main" id="{00000000-0008-0000-0600-000010000000}"/>
            </a:ext>
          </a:extLst>
        </xdr:cNvPr>
        <xdr:cNvCxnSpPr/>
      </xdr:nvCxnSpPr>
      <xdr:spPr>
        <a:xfrm>
          <a:off x="3276600" y="86772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46</xdr:row>
      <xdr:rowOff>0</xdr:rowOff>
    </xdr:from>
    <xdr:to>
      <xdr:col>4</xdr:col>
      <xdr:colOff>513018</xdr:colOff>
      <xdr:row>46</xdr:row>
      <xdr:rowOff>0</xdr:rowOff>
    </xdr:to>
    <xdr:cxnSp macro="">
      <xdr:nvCxnSpPr>
        <xdr:cNvPr id="17" name="Conector recto 13">
          <a:extLst>
            <a:ext uri="{FF2B5EF4-FFF2-40B4-BE49-F238E27FC236}">
              <a16:creationId xmlns:a16="http://schemas.microsoft.com/office/drawing/2014/main" id="{00000000-0008-0000-0600-000011000000}"/>
            </a:ext>
          </a:extLst>
        </xdr:cNvPr>
        <xdr:cNvCxnSpPr/>
      </xdr:nvCxnSpPr>
      <xdr:spPr>
        <a:xfrm>
          <a:off x="1552575" y="86772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45</xdr:row>
          <xdr:rowOff>9525</xdr:rowOff>
        </xdr:from>
        <xdr:to>
          <xdr:col>6</xdr:col>
          <xdr:colOff>1076325</xdr:colOff>
          <xdr:row>46</xdr:row>
          <xdr:rowOff>9525</xdr:rowOff>
        </xdr:to>
        <xdr:pic>
          <xdr:nvPicPr>
            <xdr:cNvPr id="21506" name="Picture 2">
              <a:extLst>
                <a:ext uri="{FF2B5EF4-FFF2-40B4-BE49-F238E27FC236}">
                  <a16:creationId xmlns:a16="http://schemas.microsoft.com/office/drawing/2014/main" id="{00000000-0008-0000-0600-000002540000}"/>
                </a:ext>
              </a:extLst>
            </xdr:cNvPr>
            <xdr:cNvPicPr>
              <a:picLocks noChangeAspect="1"/>
              <a:extLst>
                <a:ext uri="{84589F7E-364E-4C9E-8A38-B11213B215E9}">
                  <a14:cameraTool cellRange="revisofirmas7" spid="_x0000_s183358"/>
                </a:ext>
              </a:extLst>
            </xdr:cNvPicPr>
          </xdr:nvPicPr>
          <xdr:blipFill>
            <a:blip xmlns:r="http://schemas.openxmlformats.org/officeDocument/2006/relationships" r:embed="rId6"/>
            <a:srcRect/>
            <a:stretch>
              <a:fillRect/>
            </a:stretch>
          </xdr:blipFill>
          <xdr:spPr bwMode="auto">
            <a:xfrm>
              <a:off x="3133725" y="8362950"/>
              <a:ext cx="17049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xdr:row>
          <xdr:rowOff>19050</xdr:rowOff>
        </xdr:from>
        <xdr:to>
          <xdr:col>9</xdr:col>
          <xdr:colOff>333375</xdr:colOff>
          <xdr:row>46</xdr:row>
          <xdr:rowOff>0</xdr:rowOff>
        </xdr:to>
        <xdr:pic>
          <xdr:nvPicPr>
            <xdr:cNvPr id="21507" name="Picture 3">
              <a:extLst>
                <a:ext uri="{FF2B5EF4-FFF2-40B4-BE49-F238E27FC236}">
                  <a16:creationId xmlns:a16="http://schemas.microsoft.com/office/drawing/2014/main" id="{00000000-0008-0000-0600-000003540000}"/>
                </a:ext>
              </a:extLst>
            </xdr:cNvPr>
            <xdr:cNvPicPr>
              <a:picLocks noChangeAspect="1"/>
              <a:extLst>
                <a:ext uri="{84589F7E-364E-4C9E-8A38-B11213B215E9}">
                  <a14:cameraTool cellRange="aprobofirmas7" spid="_x0000_s183359"/>
                </a:ext>
              </a:extLst>
            </xdr:cNvPicPr>
          </xdr:nvPicPr>
          <xdr:blipFill>
            <a:blip xmlns:r="http://schemas.openxmlformats.org/officeDocument/2006/relationships" r:embed="rId7"/>
            <a:srcRect/>
            <a:stretch>
              <a:fillRect/>
            </a:stretch>
          </xdr:blipFill>
          <xdr:spPr bwMode="auto">
            <a:xfrm>
              <a:off x="4857750" y="8372475"/>
              <a:ext cx="1647825" cy="4857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19050</xdr:rowOff>
        </xdr:from>
        <xdr:to>
          <xdr:col>4</xdr:col>
          <xdr:colOff>666750</xdr:colOff>
          <xdr:row>46</xdr:row>
          <xdr:rowOff>9525</xdr:rowOff>
        </xdr:to>
        <xdr:pic>
          <xdr:nvPicPr>
            <xdr:cNvPr id="21508" name="Picture 4">
              <a:extLst>
                <a:ext uri="{FF2B5EF4-FFF2-40B4-BE49-F238E27FC236}">
                  <a16:creationId xmlns:a16="http://schemas.microsoft.com/office/drawing/2014/main" id="{00000000-0008-0000-0600-000004540000}"/>
                </a:ext>
              </a:extLst>
            </xdr:cNvPr>
            <xdr:cNvPicPr>
              <a:picLocks noChangeAspect="1"/>
              <a:extLst>
                <a:ext uri="{84589F7E-364E-4C9E-8A38-B11213B215E9}">
                  <a14:cameraTool cellRange="elaborofirmas7" spid="_x0000_s183360"/>
                </a:ext>
              </a:extLst>
            </xdr:cNvPicPr>
          </xdr:nvPicPr>
          <xdr:blipFill>
            <a:blip xmlns:r="http://schemas.openxmlformats.org/officeDocument/2006/relationships" r:embed="rId8"/>
            <a:srcRect/>
            <a:stretch>
              <a:fillRect/>
            </a:stretch>
          </xdr:blipFill>
          <xdr:spPr bwMode="auto">
            <a:xfrm>
              <a:off x="1457325" y="8372475"/>
              <a:ext cx="1657350" cy="495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iuBPMarco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7.%20Petreos\Mezcla%20asfaltica\Agregado%20fino\Agregado%20fino%20(Mensu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aboratorio/1.%20Calidad/1.%20GLAB/1.%20Formatos/1.%20Formatos%20de%20informe/7.%20Petreos/GLAB-FM-164%20v2%20Inf.%20Granulometria%20diaria%20sept%20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aboratorio/1.%20Calidad/1.%20Formatos/1.%20Formatos%20de%20informe/2.%20Apiques/Apiqu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UMV\ESCRITORIO\2.%20Apiques%20.xlsb.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lab-12781\LABORATORIO\9.%20Acreditacion\Formatos%20Marzo\2.%20Apiqu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206\Users\jennifer.arias\Desktop\LABORATORIO\1.%20Calidad\Formatos%20para%20digitar\7.%20Petreos\Mezcla\Agregado%20fino\Agregado%20fino%20(Mensual)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r-lab-12781\laboratorio\1.%20Calidad\Formatos%20individuales\Informe\PRO-L-FM-006%20V6%20Inf.%20Equivalente%20de%20aren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1.206\Users\Users\sonia.gaviria\Desktop\CNS\Frecuencias\Petreos\Mezcla\Agregados%20%20Finos\Agregado%20fino%20%20(Sema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1.206\Users\Users\sonia.gaviria\Desktop\CNS\Frecuencias\Petreos\Agregados%20%20Finos\Agregado%20fino%20%20(Sema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r-lab-12781\laboratorio\9.%20Acreditacion\Formatos%20Marzo\Clasific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206\Users\CNSG\Para%20revision\CNSG\Nueva%20carpeta\Listo\Documents%20and%20Settings\DIANA%20PAO\Configuraci&#243;n%20local\Archivos%20temporales%20de%20Internet\Content.IE5\S1MFOXQ3\DATOS\Equipos\COSTO%20DE%20PROPIEDA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Laboratorio\1.%20Calidad\1.%20GLAB\1.%20Formatos\1.%20Formatos%20de%20informe\2.%20Apiques\2.%20Apique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CINDY.SASTOQUE\Desktop\Nueva%20carpeta\GLAB-FM-005%20V8%20Inf.%20Limite%20liquido,%20plastico%20e%20Indice%20de%20plasticida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CINDY.SASTOQUE\Documents\Laboratorio2\9.%20Acreditacion\1.%20Control%20de%20documentos\2.%20Aprobaciones\Julio\GLAB-FM-005%20V9%20Inf.%20Limite%20liquido,%20plastico%20e%20Indice%20de%20plasticida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lab-12781\laboratorio\9.%20Acreditacion\Formatos%20Marzo\Agregado%20fino%20(Mensu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2.%20Apiques\2.%20Apiques%20.xlsb.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03%20V.1%20Humedad%20Natura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04%20V.1Presencia%20de%20impurezas%20en%20agregados%20fino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1.206\Users\Frecuencias\Mezcla\Agregados%20%20Finos\15.%20PRO-L-FM-015%20(INV%20E-217-13)%20Masas%20Unitaria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1.206\Users\Frecuencias\Mezcla\Agregados%20%20Finos\3.%20PRO-L-FM-003%20(INV-122-13)%20Humedad%20Natur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1.206\Users\Frecuencias\Mezcla\Agregados%20%20Finos\19.%20PRO-L-FM-019%20(INV%20E-222-13)%20Gs%20Fin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1252098\COSTO%20DE%20PROPIEDA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14%20V.1%20Lavado%20tamiz%20N&#176;%202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CINDY.SASTOQUE\Desktop\Formatos\Contenido%20de%20agua%20(Humedad).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1.206\Users\Users\sonia.gaviria\Desktop\Nueva%20carpeta\Agregado%20fino%20%20(Mensu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1.206\Users\Users\sonia.gaviria\Desktop\X.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PIQUES%20ok.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22%20V.1%20Caras%20fracturadas%20e%20indice%20de%20form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173\laboratorio\Users\Sonia.gaviria\Desktop\CNSG\Nueva%20carpeta\Listo\Documents%20and%20Settings\DIANA%20PAO\Configuraci&#243;n%20local\Archivos%20temporales%20de%20Internet\Content.IE5\S1MFOXQ3\DATOS\Equipos\COSTO%20DE%20PROPIED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06\Users\Frecuencias\Mezcla\Agregados%20%20Finos\Para%20revision\CNSG\Nueva%20carpeta\Listo\Documents%20and%20Settings\DIANA%20PAO\Configuraci&#243;n%20local\Archivos%20temporales%20de%20Internet\Content.IE5\S1MFOXQ3\DATOS\Equipos\COSTO%20DE%20PROPIEDA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06\Users\Frecuencias\Mezcla\Agregados%20%20Finos\CNSG\Nueva%20carpeta\Listo\Documents%20and%20Settings\DIANA%20PAO\Configuraci&#243;n%20local\Archivos%20temporales%20de%20Internet\Content.IE5\S1MFOXQ3\DATOS\Equipos\COSTO%20DE%20PROPIEDA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173\Users\Sonia.gaviria\Desktop\CNSG\Nueva%20carpeta\Listo\Documents%20and%20Settings\DIANA%20PAO\Configuraci&#243;n%20local\Archivos%20temporales%20de%20Internet\Content.IE5\S1MFOXQ3\DATOS\Equipos\COSTO%20DE%20PROPIEDA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7.%20Petreos\Concreto\Agregado%20Fino\Agregado%20fino%20(Mens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12">
          <cell r="D12">
            <v>3</v>
          </cell>
        </row>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3">
          <cell r="B3">
            <v>3</v>
          </cell>
        </row>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RESUMEN BG"/>
      <sheetName val="Gradacion "/>
      <sheetName val="HUMEDAD "/>
      <sheetName val="Solidez"/>
      <sheetName val="A"/>
      <sheetName val="ANGULARIDAD"/>
      <sheetName val="INV 222-13"/>
      <sheetName val="GRAVEDAD"/>
      <sheetName val="Desgaste"/>
      <sheetName val="Microdeval "/>
      <sheetName val="10% De Finos"/>
      <sheetName val="LIMITES"/>
      <sheetName val="EQUIVALENTE"/>
      <sheetName val="TERRONES DE ARCILLA"/>
      <sheetName val="CF - IF "/>
      <sheetName val="PROCTOR"/>
      <sheetName val=" CBR 1"/>
      <sheetName val=" CBR (2)"/>
      <sheetName val="firmas"/>
      <sheetName val="Hoja1"/>
    </sheetNames>
    <sheetDataSet>
      <sheetData sheetId="0">
        <row r="46">
          <cell r="G46" t="str">
            <v>--</v>
          </cell>
        </row>
      </sheetData>
      <sheetData sheetId="1" refreshError="1"/>
      <sheetData sheetId="2"/>
      <sheetData sheetId="3" refreshError="1"/>
      <sheetData sheetId="4" refreshError="1"/>
      <sheetData sheetId="5" refreshError="1"/>
      <sheetData sheetId="6">
        <row r="29">
          <cell r="L29" t="str">
            <v>--</v>
          </cell>
          <cell r="W29" t="str">
            <v>--</v>
          </cell>
          <cell r="AK29" t="str">
            <v>--</v>
          </cell>
        </row>
        <row r="30">
          <cell r="W30" t="str">
            <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Desgaste"/>
      <sheetName val="Microdeval "/>
      <sheetName val="10% De Finos"/>
      <sheetName val=" HUMEDAD"/>
      <sheetName val="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1. Encabezado"/>
      <sheetName val="Formato "/>
      <sheetName val="firmas"/>
      <sheetName val="Hoja1"/>
      <sheetName val="RESUMEN B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OSPINA JUAN GABRIEL</v>
          </cell>
        </row>
        <row r="9">
          <cell r="A9" t="str">
            <v>SUAREZ  WILLIAM</v>
          </cell>
          <cell r="C9">
            <v>9</v>
          </cell>
        </row>
        <row r="10">
          <cell r="A10" t="str">
            <v>YARA FABIAN</v>
          </cell>
        </row>
        <row r="11">
          <cell r="A11" t="str">
            <v>RINCON SATURNINO</v>
          </cell>
          <cell r="C11">
            <v>1</v>
          </cell>
        </row>
        <row r="12">
          <cell r="A12" t="str">
            <v>ACHIARDI LEONARDO</v>
          </cell>
        </row>
        <row r="13">
          <cell r="A13" t="str">
            <v>SAENZ JESSICA</v>
          </cell>
        </row>
        <row r="14">
          <cell r="A14" t="str">
            <v>PRADA CESAR</v>
          </cell>
        </row>
        <row r="15">
          <cell r="A15" t="str">
            <v xml:space="preserve">VARGAS JUAN </v>
          </cell>
        </row>
        <row r="16">
          <cell r="A16" t="str">
            <v>CANO LUIS EDUARDO</v>
          </cell>
        </row>
        <row r="17">
          <cell r="A17" t="str">
            <v xml:space="preserve">RIAÑO JOSE </v>
          </cell>
        </row>
        <row r="18">
          <cell r="A18" t="str">
            <v>GALVIS DANIEL</v>
          </cell>
        </row>
        <row r="19">
          <cell r="A19" t="str">
            <v>GOMEZ LUIS CARLOS</v>
          </cell>
        </row>
        <row r="20">
          <cell r="A20" t="str">
            <v xml:space="preserve">VELASQUEZ JUAN CAMILO </v>
          </cell>
        </row>
        <row r="21">
          <cell r="A21" t="str">
            <v xml:space="preserve">QUIÑONES ETIEL </v>
          </cell>
        </row>
        <row r="22">
          <cell r="A22" t="str">
            <v>VANEGAS BRAYAN</v>
          </cell>
        </row>
        <row r="23">
          <cell r="A23" t="str">
            <v>RIOS JOSE</v>
          </cell>
        </row>
        <row r="24">
          <cell r="A24" t="str">
            <v xml:space="preserve">VAQUIRO JUAN CAMILO </v>
          </cell>
        </row>
        <row r="25">
          <cell r="A25" t="str">
            <v xml:space="preserve">RINCON ALVARO JOSE </v>
          </cell>
        </row>
        <row r="26">
          <cell r="A26" t="str">
            <v>VILLALBA ROBINSSON</v>
          </cell>
        </row>
        <row r="27">
          <cell r="A27" t="str">
            <v>JUNCO DIEGO</v>
          </cell>
        </row>
        <row r="28">
          <cell r="A28" t="str">
            <v>GONZALEZ CAMILO</v>
          </cell>
        </row>
        <row r="29">
          <cell r="A29" t="str">
            <v>MONTENEGRO EDGAR</v>
          </cell>
        </row>
        <row r="30">
          <cell r="A30" t="str">
            <v>PRADA PEDRO</v>
          </cell>
        </row>
        <row r="31">
          <cell r="A31" t="str">
            <v>SUAREZ DIEGO</v>
          </cell>
        </row>
        <row r="32">
          <cell r="A32" t="str">
            <v>--</v>
          </cell>
        </row>
        <row r="34">
          <cell r="A34" t="str">
            <v>RINCON SATURNINO</v>
          </cell>
          <cell r="C34">
            <v>1</v>
          </cell>
        </row>
        <row r="35">
          <cell r="A35" t="str">
            <v>JENNYFER ARIAS</v>
          </cell>
        </row>
        <row r="36">
          <cell r="C36">
            <v>1</v>
          </cell>
        </row>
        <row r="37">
          <cell r="A37" t="str">
            <v>--</v>
          </cell>
        </row>
        <row r="39">
          <cell r="A39" t="str">
            <v>CINDY NATHALY SASTOQUE</v>
          </cell>
        </row>
        <row r="40">
          <cell r="A40" t="str">
            <v>CONTRERAS WILINTONG</v>
          </cell>
        </row>
        <row r="41">
          <cell r="A41" t="str">
            <v>--</v>
          </cell>
        </row>
      </sheetData>
      <sheetData sheetId="22" refreshError="1"/>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CONCENCIONES USC"/>
      <sheetName val="1. PERFIL ESTRATIGRAFICO"/>
      <sheetName val="2. REG FOTOGRAFICO"/>
      <sheetName val="3. CONO DINAMICO"/>
      <sheetName val="firmas"/>
      <sheetName val="4. CLASIFICACION M1"/>
      <sheetName val="5. LIMITES M1"/>
      <sheetName val="5. LIMITES "/>
      <sheetName val="6. HUMEDAD M1"/>
      <sheetName val="6. HUMEDAD "/>
      <sheetName val="7. EQUIVALENTE M1"/>
      <sheetName val="7. M.O. M1"/>
      <sheetName val="8. CLASIFICACION M2"/>
      <sheetName val="9. LIMITES M2"/>
      <sheetName val="9. LIMITES  (M2)"/>
      <sheetName val="10. HUMEDAD M2"/>
      <sheetName val="10. HUMEDAD  (M2)"/>
      <sheetName val="11. EQUIVALENTE M2"/>
      <sheetName val="11. M.O.  M2"/>
      <sheetName val="12. CLASIFICACION M3"/>
      <sheetName val="13. LIMITES M3"/>
      <sheetName val="13. LIMITES  (M3)"/>
      <sheetName val="14. HUMEDAD M3"/>
      <sheetName val="14. HUMEDAD  (M3)"/>
      <sheetName val="15. EQUIVALENTE M3"/>
      <sheetName val="15. M.O.  M3"/>
    </sheetNames>
    <sheetDataSet>
      <sheetData sheetId="0" refreshError="1"/>
      <sheetData sheetId="1" refreshError="1"/>
      <sheetData sheetId="2">
        <row r="56">
          <cell r="A56" t="str">
            <v>--</v>
          </cell>
        </row>
      </sheetData>
      <sheetData sheetId="3" refreshError="1"/>
      <sheetData sheetId="4">
        <row r="32">
          <cell r="A32" t="str">
            <v>--</v>
          </cell>
        </row>
        <row r="39">
          <cell r="A39" t="str">
            <v>CINDY NATHALY SASTOQUE</v>
          </cell>
          <cell r="C39">
            <v>0</v>
          </cell>
        </row>
        <row r="40">
          <cell r="A40" t="str">
            <v>CONTRERAS WILINTONG</v>
          </cell>
          <cell r="C40">
            <v>0</v>
          </cell>
        </row>
        <row r="41">
          <cell r="A41" t="str">
            <v>--</v>
          </cell>
        </row>
      </sheetData>
      <sheetData sheetId="5">
        <row r="48">
          <cell r="J48" t="str">
            <v>--</v>
          </cell>
          <cell r="K48">
            <v>0</v>
          </cell>
          <cell r="L48">
            <v>0</v>
          </cell>
          <cell r="M48">
            <v>0</v>
          </cell>
          <cell r="N48">
            <v>0</v>
          </cell>
          <cell r="O48">
            <v>0</v>
          </cell>
          <cell r="P48">
            <v>0</v>
          </cell>
        </row>
      </sheetData>
      <sheetData sheetId="6" refreshError="1"/>
      <sheetData sheetId="7" refreshError="1"/>
      <sheetData sheetId="8" refreshError="1"/>
      <sheetData sheetId="9" refreshError="1"/>
      <sheetData sheetId="10" refreshError="1"/>
      <sheetData sheetId="11" refreshError="1"/>
      <sheetData sheetId="12">
        <row r="48">
          <cell r="J48" t="str">
            <v>--</v>
          </cell>
          <cell r="K48">
            <v>0</v>
          </cell>
          <cell r="L48">
            <v>0</v>
          </cell>
          <cell r="M48">
            <v>0</v>
          </cell>
          <cell r="N48">
            <v>0</v>
          </cell>
          <cell r="O48">
            <v>0</v>
          </cell>
          <cell r="P48">
            <v>0</v>
          </cell>
        </row>
      </sheetData>
      <sheetData sheetId="13" refreshError="1"/>
      <sheetData sheetId="14" refreshError="1"/>
      <sheetData sheetId="15" refreshError="1"/>
      <sheetData sheetId="16" refreshError="1"/>
      <sheetData sheetId="17" refreshError="1"/>
      <sheetData sheetId="18" refreshError="1"/>
      <sheetData sheetId="19">
        <row r="48">
          <cell r="J48" t="str">
            <v>--</v>
          </cell>
          <cell r="K48">
            <v>0</v>
          </cell>
          <cell r="L48">
            <v>0</v>
          </cell>
          <cell r="M48">
            <v>0</v>
          </cell>
          <cell r="N48">
            <v>0</v>
          </cell>
          <cell r="O48">
            <v>0</v>
          </cell>
          <cell r="P48">
            <v>0</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sheetName val="M.O.  M1"/>
      <sheetName val="CLASIFICACION M2"/>
      <sheetName val="LIMITES M2"/>
      <sheetName val="HUMEDAD 2"/>
      <sheetName val="EQUIVALENTE M2"/>
      <sheetName val="M.O.  M2"/>
      <sheetName val="CLASIFICACION M3"/>
      <sheetName val="LIMITES M3"/>
      <sheetName val="HUMEDAD 3"/>
      <sheetName val="EQUIVALENTE M3"/>
      <sheetName val="M.O.  M3"/>
      <sheetName val="firmas"/>
      <sheetName val="#¡REF"/>
    </sheetNames>
    <sheetDataSet>
      <sheetData sheetId="0"/>
      <sheetData sheetId="1"/>
      <sheetData sheetId="2"/>
      <sheetData sheetId="3"/>
      <sheetData sheetId="4"/>
      <sheetData sheetId="5">
        <row r="24">
          <cell r="G24" t="str">
            <v/>
          </cell>
        </row>
      </sheetData>
      <sheetData sheetId="6">
        <row r="26">
          <cell r="H26" t="str">
            <v/>
          </cell>
        </row>
      </sheetData>
      <sheetData sheetId="7">
        <row r="23">
          <cell r="G23" t="str">
            <v/>
          </cell>
        </row>
      </sheetData>
      <sheetData sheetId="8">
        <row r="29">
          <cell r="C29" t="str">
            <v>--</v>
          </cell>
        </row>
      </sheetData>
      <sheetData sheetId="9">
        <row r="30">
          <cell r="E30" t="str">
            <v/>
          </cell>
        </row>
      </sheetData>
      <sheetData sheetId="10">
        <row r="24">
          <cell r="G24" t="str">
            <v/>
          </cell>
        </row>
      </sheetData>
      <sheetData sheetId="11">
        <row r="26">
          <cell r="H26" t="str">
            <v/>
          </cell>
        </row>
      </sheetData>
      <sheetData sheetId="12"/>
      <sheetData sheetId="13">
        <row r="23">
          <cell r="F23" t="str">
            <v/>
          </cell>
        </row>
        <row r="29">
          <cell r="C29" t="str">
            <v>--</v>
          </cell>
          <cell r="D29">
            <v>0</v>
          </cell>
          <cell r="E29">
            <v>0</v>
          </cell>
          <cell r="F29" t="str">
            <v>--</v>
          </cell>
          <cell r="G29">
            <v>0</v>
          </cell>
          <cell r="H29">
            <v>0</v>
          </cell>
          <cell r="I29" t="str">
            <v>--</v>
          </cell>
          <cell r="J29">
            <v>0</v>
          </cell>
          <cell r="K29">
            <v>0</v>
          </cell>
          <cell r="L29">
            <v>0</v>
          </cell>
          <cell r="M29">
            <v>0</v>
          </cell>
          <cell r="N29">
            <v>0</v>
          </cell>
          <cell r="O29">
            <v>0</v>
          </cell>
        </row>
      </sheetData>
      <sheetData sheetId="14">
        <row r="30">
          <cell r="E30" t="str">
            <v/>
          </cell>
        </row>
      </sheetData>
      <sheetData sheetId="15">
        <row r="24">
          <cell r="G24" t="str">
            <v/>
          </cell>
        </row>
        <row r="52">
          <cell r="C52" t="str">
            <v>--</v>
          </cell>
          <cell r="D52">
            <v>0</v>
          </cell>
          <cell r="E52">
            <v>0</v>
          </cell>
        </row>
      </sheetData>
      <sheetData sheetId="16">
        <row r="26">
          <cell r="H26" t="str">
            <v/>
          </cell>
        </row>
      </sheetData>
      <sheetData sheetId="17"/>
      <sheetData sheetId="18">
        <row r="23">
          <cell r="F23" t="str">
            <v/>
          </cell>
        </row>
        <row r="29">
          <cell r="C29" t="str">
            <v>--</v>
          </cell>
          <cell r="D29">
            <v>0</v>
          </cell>
          <cell r="E29">
            <v>0</v>
          </cell>
          <cell r="F29" t="str">
            <v>--</v>
          </cell>
          <cell r="G29">
            <v>0</v>
          </cell>
          <cell r="H29">
            <v>0</v>
          </cell>
          <cell r="I29" t="str">
            <v>--</v>
          </cell>
          <cell r="J29">
            <v>0</v>
          </cell>
          <cell r="K29">
            <v>0</v>
          </cell>
          <cell r="L29">
            <v>0</v>
          </cell>
          <cell r="M29">
            <v>0</v>
          </cell>
          <cell r="N29">
            <v>0</v>
          </cell>
          <cell r="O29">
            <v>0</v>
          </cell>
        </row>
      </sheetData>
      <sheetData sheetId="19">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ALBARRACIN JAIRO</v>
          </cell>
          <cell r="C13">
            <v>0</v>
          </cell>
        </row>
        <row r="14">
          <cell r="A14" t="str">
            <v>GOMEZ LUIS CARLOS</v>
          </cell>
          <cell r="C14">
            <v>0</v>
          </cell>
        </row>
        <row r="15">
          <cell r="A15" t="str">
            <v>ALMONACID JIMMY</v>
          </cell>
          <cell r="C15">
            <v>0</v>
          </cell>
        </row>
        <row r="16">
          <cell r="A16" t="str">
            <v>CANO LUIS EDUARDO</v>
          </cell>
          <cell r="C16">
            <v>0</v>
          </cell>
        </row>
        <row r="17">
          <cell r="A17" t="str">
            <v>MONTENEGRO YON</v>
          </cell>
          <cell r="C17">
            <v>0</v>
          </cell>
        </row>
        <row r="18">
          <cell r="A18" t="str">
            <v>VILLANUEVA BRAYAN</v>
          </cell>
          <cell r="C18">
            <v>0</v>
          </cell>
        </row>
        <row r="19">
          <cell r="A19" t="str">
            <v>RINCON JOSE</v>
          </cell>
          <cell r="C19">
            <v>0</v>
          </cell>
        </row>
        <row r="20">
          <cell r="A20" t="str">
            <v xml:space="preserve">VELASQUEZ JUAN </v>
          </cell>
          <cell r="C20">
            <v>0</v>
          </cell>
        </row>
        <row r="21">
          <cell r="A21" t="str">
            <v xml:space="preserve">VAQUIRO JUAN  CAMILO </v>
          </cell>
          <cell r="C21">
            <v>0</v>
          </cell>
        </row>
        <row r="22">
          <cell r="A22" t="str">
            <v xml:space="preserve">RIOS JOSE </v>
          </cell>
          <cell r="C22">
            <v>0</v>
          </cell>
        </row>
        <row r="23">
          <cell r="A23">
            <v>0</v>
          </cell>
          <cell r="C23">
            <v>0</v>
          </cell>
        </row>
        <row r="24">
          <cell r="A24" t="str">
            <v>--</v>
          </cell>
          <cell r="C24">
            <v>0</v>
          </cell>
        </row>
        <row r="26">
          <cell r="A26" t="str">
            <v>ARIAS JENNIFER</v>
          </cell>
          <cell r="C26">
            <v>0</v>
          </cell>
        </row>
        <row r="27">
          <cell r="A27" t="str">
            <v xml:space="preserve">VARGAS PABLO </v>
          </cell>
          <cell r="C27">
            <v>0</v>
          </cell>
        </row>
        <row r="28">
          <cell r="A28" t="str">
            <v>--</v>
          </cell>
          <cell r="C28">
            <v>1</v>
          </cell>
        </row>
        <row r="29">
          <cell r="A29" t="str">
            <v>--</v>
          </cell>
          <cell r="C29">
            <v>0</v>
          </cell>
        </row>
        <row r="31">
          <cell r="A31" t="str">
            <v xml:space="preserve">VARGAS PABLO </v>
          </cell>
          <cell r="C31">
            <v>0</v>
          </cell>
        </row>
        <row r="32">
          <cell r="A32" t="str">
            <v>CONTRERAS WILINTONG</v>
          </cell>
          <cell r="C32">
            <v>0</v>
          </cell>
        </row>
        <row r="33">
          <cell r="A33" t="str">
            <v>--</v>
          </cell>
          <cell r="C33">
            <v>0</v>
          </cell>
        </row>
      </sheetData>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EQUIVALENTE"/>
      <sheetName val="M.O.  M1"/>
      <sheetName val="CLASIFICACION M2"/>
      <sheetName val="M.O.  M2"/>
      <sheetName val="CLASIFICACION M3"/>
      <sheetName val="M.O.  M3"/>
      <sheetName val="firmas"/>
    </sheetNames>
    <sheetDataSet>
      <sheetData sheetId="0" refreshError="1"/>
      <sheetData sheetId="1" refreshError="1"/>
      <sheetData sheetId="2" refreshError="1">
        <row r="55">
          <cell r="F55" t="str">
            <v>--</v>
          </cell>
          <cell r="J55" t="str">
            <v>--</v>
          </cell>
          <cell r="N55" t="str">
            <v>--</v>
          </cell>
        </row>
      </sheetData>
      <sheetData sheetId="3" refreshError="1">
        <row r="57">
          <cell r="C57" t="str">
            <v>--</v>
          </cell>
          <cell r="G57" t="str">
            <v>--</v>
          </cell>
          <cell r="L57" t="str">
            <v>--</v>
          </cell>
        </row>
      </sheetData>
      <sheetData sheetId="4" refreshError="1">
        <row r="29">
          <cell r="G29" t="str">
            <v>--</v>
          </cell>
        </row>
      </sheetData>
      <sheetData sheetId="5" refreshError="1"/>
      <sheetData sheetId="6" refreshError="1">
        <row r="61">
          <cell r="E61" t="str">
            <v>--</v>
          </cell>
          <cell r="J61" t="str">
            <v>--</v>
          </cell>
          <cell r="N61" t="str">
            <v>--</v>
          </cell>
        </row>
      </sheetData>
      <sheetData sheetId="7" refreshError="1">
        <row r="27">
          <cell r="C27" t="str">
            <v>--</v>
          </cell>
          <cell r="F27" t="str">
            <v>--</v>
          </cell>
          <cell r="I27" t="str">
            <v>--</v>
          </cell>
        </row>
      </sheetData>
      <sheetData sheetId="8" refreshError="1">
        <row r="61">
          <cell r="E61" t="str">
            <v>--</v>
          </cell>
          <cell r="J61" t="str">
            <v>--</v>
          </cell>
          <cell r="N61" t="str">
            <v>--</v>
          </cell>
        </row>
      </sheetData>
      <sheetData sheetId="9" refreshError="1">
        <row r="27">
          <cell r="C27" t="str">
            <v>--</v>
          </cell>
          <cell r="F27" t="str">
            <v>--</v>
          </cell>
          <cell r="I27" t="str">
            <v>--</v>
          </cell>
        </row>
      </sheetData>
      <sheetData sheetId="10" refreshError="1">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cell r="B11" t="str">
            <v>Laboratorista</v>
          </cell>
        </row>
        <row r="12">
          <cell r="A12" t="str">
            <v>RINCON SATURNINO</v>
          </cell>
          <cell r="B12" t="str">
            <v>Coordinador Operativo</v>
          </cell>
          <cell r="C12">
            <v>1</v>
          </cell>
        </row>
        <row r="13">
          <cell r="A13" t="str">
            <v xml:space="preserve">MOLINA JOSE </v>
          </cell>
          <cell r="B13" t="str">
            <v>Auxiliar</v>
          </cell>
        </row>
        <row r="14">
          <cell r="A14" t="str">
            <v>ALBARRACIN JAIRO</v>
          </cell>
        </row>
        <row r="15">
          <cell r="A15" t="str">
            <v>ALMONACID JIMMY</v>
          </cell>
        </row>
        <row r="16">
          <cell r="A16" t="str">
            <v>CANO LUIS EDUARDO</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RINCON SATURNINO</v>
          </cell>
          <cell r="B29" t="str">
            <v>Coordinador operativo</v>
          </cell>
        </row>
        <row r="30">
          <cell r="C30">
            <v>1</v>
          </cell>
        </row>
        <row r="31">
          <cell r="A31" t="str">
            <v>--</v>
          </cell>
        </row>
        <row r="33">
          <cell r="A33" t="str">
            <v xml:space="preserve">VARGAS PABLO </v>
          </cell>
        </row>
        <row r="34">
          <cell r="A34" t="str">
            <v>RIVERA MERCY</v>
          </cell>
        </row>
        <row r="35">
          <cell r="A35"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RESUMEN BG"/>
      <sheetName val="Gradacion "/>
      <sheetName val="HUMEDAD"/>
      <sheetName val="Solidez"/>
      <sheetName val="ANGULARIDAD"/>
      <sheetName val="INV 222-13"/>
      <sheetName val="GRAVEDAD"/>
      <sheetName val="Desgaste"/>
      <sheetName val="Microdeval "/>
      <sheetName val="10% De Finos"/>
      <sheetName val="LIMITES"/>
      <sheetName val="EQUIVALENTE"/>
      <sheetName val="TERRONES DE ARCILLA"/>
      <sheetName val="CF - IF "/>
      <sheetName val="PROCTOR"/>
      <sheetName val=" CBR 1"/>
      <sheetName val=" CBR (2)"/>
      <sheetName val="firmas"/>
      <sheetName val="Hoja1"/>
    </sheetNames>
    <sheetDataSet>
      <sheetData sheetId="0">
        <row r="45">
          <cell r="G45" t="str">
            <v>--</v>
          </cell>
          <cell r="P45" t="str">
            <v>--</v>
          </cell>
          <cell r="V45" t="str">
            <v>--</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
          <cell r="D29" t="str">
            <v>--</v>
          </cell>
          <cell r="G29" t="str">
            <v>--</v>
          </cell>
          <cell r="J29" t="str">
            <v>--</v>
          </cell>
        </row>
      </sheetData>
      <sheetData sheetId="13" refreshError="1"/>
      <sheetData sheetId="14" refreshError="1"/>
      <sheetData sheetId="15" refreshError="1"/>
      <sheetData sheetId="16" refreshError="1"/>
      <sheetData sheetId="17" refreshError="1"/>
      <sheetData sheetId="18">
        <row r="2">
          <cell r="A2" t="str">
            <v>CHAPARRO CARLOS</v>
          </cell>
          <cell r="B2" t="str">
            <v>Laboratorista</v>
          </cell>
          <cell r="C2">
            <v>2</v>
          </cell>
        </row>
        <row r="3">
          <cell r="A3" t="str">
            <v>CORDOBA ALEXANDER</v>
          </cell>
          <cell r="B3" t="str">
            <v>Laboratorista</v>
          </cell>
          <cell r="C3">
            <v>3</v>
          </cell>
        </row>
        <row r="4">
          <cell r="A4" t="str">
            <v>CRISTANCHO VICTOR</v>
          </cell>
          <cell r="B4" t="str">
            <v>Laboratorista</v>
          </cell>
          <cell r="C4">
            <v>7</v>
          </cell>
        </row>
        <row r="5">
          <cell r="A5" t="str">
            <v>DIAZ CESAR</v>
          </cell>
          <cell r="B5" t="str">
            <v>Laboratorista</v>
          </cell>
        </row>
        <row r="6">
          <cell r="A6" t="str">
            <v>FLOREZ KAREN</v>
          </cell>
          <cell r="B6" t="str">
            <v>Laboratorista</v>
          </cell>
          <cell r="C6">
            <v>6</v>
          </cell>
        </row>
        <row r="7">
          <cell r="A7" t="str">
            <v>GALVIS DAVID</v>
          </cell>
          <cell r="B7" t="str">
            <v>Laboratorista</v>
          </cell>
          <cell r="C7">
            <v>4</v>
          </cell>
        </row>
        <row r="8">
          <cell r="A8" t="str">
            <v>MANCILLA EDGAR</v>
          </cell>
          <cell r="B8" t="str">
            <v>Laboratorista</v>
          </cell>
          <cell r="C8">
            <v>8</v>
          </cell>
        </row>
        <row r="9">
          <cell r="A9" t="str">
            <v>OSPINA JUAN GABRIEL</v>
          </cell>
          <cell r="B9" t="str">
            <v>Laboratorista</v>
          </cell>
        </row>
        <row r="10">
          <cell r="A10" t="str">
            <v>SUAREZ  WILLIAM</v>
          </cell>
          <cell r="B10" t="str">
            <v>Laboratorista</v>
          </cell>
          <cell r="C10">
            <v>9</v>
          </cell>
        </row>
        <row r="11">
          <cell r="A11" t="str">
            <v>YARA FABIAN</v>
          </cell>
          <cell r="B11" t="str">
            <v>Laboratorista</v>
          </cell>
        </row>
        <row r="12">
          <cell r="A12" t="str">
            <v>RINCON SATURNINO</v>
          </cell>
          <cell r="B12" t="str">
            <v>Coordinador Operativo</v>
          </cell>
          <cell r="C12">
            <v>1</v>
          </cell>
        </row>
        <row r="13">
          <cell r="A13" t="str">
            <v>ACHIARDI LEONARDO</v>
          </cell>
          <cell r="B13" t="str">
            <v>Auxiliar</v>
          </cell>
        </row>
        <row r="14">
          <cell r="A14" t="str">
            <v>ALBARRACIN JAIRO</v>
          </cell>
          <cell r="B14" t="str">
            <v>Auxiliar</v>
          </cell>
        </row>
        <row r="15">
          <cell r="A15" t="str">
            <v>ALMONACID JIMMY</v>
          </cell>
          <cell r="B15" t="str">
            <v>Auxiliar</v>
          </cell>
        </row>
        <row r="16">
          <cell r="A16" t="str">
            <v>CANO LUIS EDUARDO</v>
          </cell>
          <cell r="B16" t="str">
            <v>Auxiliar</v>
          </cell>
        </row>
        <row r="17">
          <cell r="A17" t="str">
            <v>GALVIS DANIEL</v>
          </cell>
          <cell r="B17" t="str">
            <v>Auxiliar</v>
          </cell>
        </row>
        <row r="18">
          <cell r="A18" t="str">
            <v>GOMEZ LUIS CARLOS</v>
          </cell>
          <cell r="B18" t="str">
            <v>Auxiliar</v>
          </cell>
        </row>
        <row r="19">
          <cell r="A19" t="str">
            <v>FAJARDO HUGO</v>
          </cell>
          <cell r="B19" t="str">
            <v>Auxiliar</v>
          </cell>
        </row>
        <row r="20">
          <cell r="A20" t="str">
            <v>PATIÑO MARLON</v>
          </cell>
          <cell r="B20" t="str">
            <v>Auxiliar</v>
          </cell>
        </row>
        <row r="21">
          <cell r="A21" t="str">
            <v>PRIETO YULY PAOLA</v>
          </cell>
          <cell r="B21" t="str">
            <v>Auxiliar</v>
          </cell>
        </row>
        <row r="22">
          <cell r="A22" t="str">
            <v>SASTOQUE CINDY</v>
          </cell>
          <cell r="B22" t="str">
            <v>Auxiliar</v>
          </cell>
        </row>
        <row r="23">
          <cell r="A23" t="str">
            <v>TEUTA DIEGO</v>
          </cell>
          <cell r="B23" t="str">
            <v>Auxiliar</v>
          </cell>
        </row>
        <row r="24">
          <cell r="A24" t="str">
            <v>VARGAS RODOLFO</v>
          </cell>
          <cell r="B24" t="str">
            <v>Auxiliar</v>
          </cell>
        </row>
        <row r="25">
          <cell r="A25" t="str">
            <v>VILLANUEVA BRAYAN</v>
          </cell>
          <cell r="B25" t="str">
            <v>Auxiliar</v>
          </cell>
        </row>
        <row r="26">
          <cell r="A26" t="str">
            <v>--</v>
          </cell>
        </row>
        <row r="28">
          <cell r="A28" t="str">
            <v>ARIAS JENNIFER</v>
          </cell>
        </row>
        <row r="29">
          <cell r="A29" t="str">
            <v>ARIAS JEIMY</v>
          </cell>
        </row>
        <row r="30">
          <cell r="A30" t="str">
            <v>RINCON SATURNINO</v>
          </cell>
          <cell r="C30">
            <v>1</v>
          </cell>
        </row>
        <row r="31">
          <cell r="A31" t="str">
            <v>--</v>
          </cell>
        </row>
        <row r="33">
          <cell r="A33" t="str">
            <v>GAVIRIA SONIA</v>
          </cell>
        </row>
        <row r="34">
          <cell r="A34" t="str">
            <v>RIVERA MERCY</v>
          </cell>
        </row>
        <row r="35">
          <cell r="A35" t="str">
            <v>--</v>
          </cell>
        </row>
      </sheetData>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firmas"/>
      <sheetName val="Hoja1"/>
    </sheetNames>
    <sheetDataSet>
      <sheetData sheetId="0">
        <row r="43">
          <cell r="G43" t="str">
            <v>--</v>
          </cell>
        </row>
      </sheetData>
      <sheetData sheetId="1">
        <row r="46">
          <cell r="I46" t="str">
            <v>--</v>
          </cell>
        </row>
      </sheetData>
      <sheetData sheetId="2">
        <row r="38">
          <cell r="F38" t="str">
            <v>--</v>
          </cell>
        </row>
      </sheetData>
      <sheetData sheetId="3">
        <row r="44">
          <cell r="I44" t="str">
            <v>--</v>
          </cell>
        </row>
      </sheetData>
      <sheetData sheetId="4">
        <row r="23">
          <cell r="D23" t="str">
            <v>--</v>
          </cell>
        </row>
      </sheetData>
      <sheetData sheetId="5">
        <row r="47">
          <cell r="H47" t="str">
            <v>--</v>
          </cell>
        </row>
      </sheetData>
      <sheetData sheetId="6">
        <row r="47">
          <cell r="C47" t="str">
            <v>--</v>
          </cell>
        </row>
      </sheetData>
      <sheetData sheetId="7"/>
      <sheetData sheetId="8">
        <row r="27">
          <cell r="C27" t="str">
            <v>--</v>
          </cell>
        </row>
      </sheetData>
      <sheetData sheetId="9">
        <row r="43">
          <cell r="G43" t="str">
            <v>--</v>
          </cell>
          <cell r="M43" t="str">
            <v>--</v>
          </cell>
          <cell r="N43">
            <v>0</v>
          </cell>
          <cell r="O43">
            <v>0</v>
          </cell>
          <cell r="P43">
            <v>0</v>
          </cell>
          <cell r="Q43">
            <v>0</v>
          </cell>
          <cell r="R43">
            <v>0</v>
          </cell>
          <cell r="S43">
            <v>0</v>
          </cell>
          <cell r="T43">
            <v>0</v>
          </cell>
          <cell r="U43">
            <v>0</v>
          </cell>
          <cell r="V43">
            <v>0</v>
          </cell>
          <cell r="W43">
            <v>0</v>
          </cell>
          <cell r="X43">
            <v>0</v>
          </cell>
          <cell r="Y43" t="str">
            <v>--</v>
          </cell>
        </row>
      </sheetData>
      <sheetData sheetId="10">
        <row r="29">
          <cell r="L29" t="str">
            <v>--</v>
          </cell>
          <cell r="W29" t="str">
            <v>--</v>
          </cell>
          <cell r="X29">
            <v>0</v>
          </cell>
          <cell r="AK29" t="str">
            <v>--</v>
          </cell>
        </row>
        <row r="30">
          <cell r="W30">
            <v>0</v>
          </cell>
          <cell r="X30">
            <v>0</v>
          </cell>
        </row>
        <row r="31">
          <cell r="W31">
            <v>0</v>
          </cell>
          <cell r="X31">
            <v>0</v>
          </cell>
        </row>
        <row r="32">
          <cell r="W32">
            <v>0</v>
          </cell>
          <cell r="X32">
            <v>0</v>
          </cell>
        </row>
        <row r="33">
          <cell r="W33">
            <v>0</v>
          </cell>
          <cell r="X33">
            <v>0</v>
          </cell>
        </row>
      </sheetData>
      <sheetData sheetId="11">
        <row r="42">
          <cell r="C42" t="str">
            <v>--</v>
          </cell>
          <cell r="F42" t="str">
            <v>--</v>
          </cell>
          <cell r="I42" t="str">
            <v>--</v>
          </cell>
        </row>
      </sheetData>
      <sheetData sheetId="12">
        <row r="55">
          <cell r="AL55" t="str">
            <v>--</v>
          </cell>
          <cell r="AM55">
            <v>0</v>
          </cell>
          <cell r="AN55" t="str">
            <v>--</v>
          </cell>
          <cell r="AO55">
            <v>0</v>
          </cell>
          <cell r="AP55" t="str">
            <v>--</v>
          </cell>
          <cell r="AQ55">
            <v>0</v>
          </cell>
        </row>
      </sheetData>
      <sheetData sheetId="13">
        <row r="55">
          <cell r="C55" t="str">
            <v>--</v>
          </cell>
          <cell r="E55" t="str">
            <v>--</v>
          </cell>
          <cell r="F55">
            <v>0</v>
          </cell>
          <cell r="G55" t="str">
            <v>--</v>
          </cell>
          <cell r="H55">
            <v>0</v>
          </cell>
        </row>
      </sheetData>
      <sheetData sheetId="14">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MANCILLA EDGAR</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ACHIARDI LEONARDO</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ARIAS JEIMY</v>
          </cell>
          <cell r="C29">
            <v>0</v>
          </cell>
        </row>
        <row r="30">
          <cell r="A30" t="str">
            <v>RINCON SATURNINO</v>
          </cell>
          <cell r="C30">
            <v>1</v>
          </cell>
        </row>
        <row r="31">
          <cell r="A31" t="str">
            <v>--</v>
          </cell>
          <cell r="C31">
            <v>0</v>
          </cell>
        </row>
        <row r="33">
          <cell r="A33" t="str">
            <v>GAVIRIA SONIA</v>
          </cell>
          <cell r="C33">
            <v>0</v>
          </cell>
        </row>
        <row r="34">
          <cell r="A34" t="str">
            <v>RIVERA MERCY</v>
          </cell>
          <cell r="C34">
            <v>0</v>
          </cell>
        </row>
        <row r="35">
          <cell r="A35" t="str">
            <v>--</v>
          </cell>
          <cell r="C35">
            <v>0</v>
          </cell>
        </row>
      </sheetData>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FM-003 HUMEDAD"/>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INV 222-13"/>
      <sheetName val="GRAVEDAD"/>
      <sheetName val="firmas"/>
      <sheetName val="Hoja1"/>
    </sheetNames>
    <sheetDataSet>
      <sheetData sheetId="0"/>
      <sheetData sheetId="1"/>
      <sheetData sheetId="2">
        <row r="55">
          <cell r="I55" t="str">
            <v>--</v>
          </cell>
          <cell r="J55">
            <v>0</v>
          </cell>
          <cell r="K55">
            <v>0</v>
          </cell>
          <cell r="L55">
            <v>0</v>
          </cell>
          <cell r="M55">
            <v>0</v>
          </cell>
          <cell r="N55">
            <v>0</v>
          </cell>
          <cell r="O55">
            <v>0</v>
          </cell>
          <cell r="P55">
            <v>0</v>
          </cell>
          <cell r="Q55" t="str">
            <v>--</v>
          </cell>
          <cell r="R55">
            <v>0</v>
          </cell>
          <cell r="S55">
            <v>0</v>
          </cell>
          <cell r="T55">
            <v>0</v>
          </cell>
          <cell r="U55">
            <v>0</v>
          </cell>
          <cell r="V55">
            <v>0</v>
          </cell>
          <cell r="W55">
            <v>0</v>
          </cell>
          <cell r="X55">
            <v>0</v>
          </cell>
          <cell r="Y55" t="str">
            <v>--</v>
          </cell>
          <cell r="Z55">
            <v>0</v>
          </cell>
          <cell r="AA55">
            <v>0</v>
          </cell>
          <cell r="AB55">
            <v>0</v>
          </cell>
          <cell r="AC55">
            <v>0</v>
          </cell>
          <cell r="AD55">
            <v>0</v>
          </cell>
          <cell r="AE55">
            <v>0</v>
          </cell>
          <cell r="AF55">
            <v>0</v>
          </cell>
        </row>
      </sheetData>
      <sheetData sheetId="3">
        <row r="38">
          <cell r="F38" t="str">
            <v>--</v>
          </cell>
          <cell r="L38" t="str">
            <v>--</v>
          </cell>
          <cell r="T38" t="str">
            <v>--</v>
          </cell>
        </row>
      </sheetData>
      <sheetData sheetId="4">
        <row r="44">
          <cell r="I44" t="str">
            <v>--</v>
          </cell>
          <cell r="R44" t="str">
            <v>--</v>
          </cell>
          <cell r="AC44" t="str">
            <v>--</v>
          </cell>
        </row>
      </sheetData>
      <sheetData sheetId="5">
        <row r="23">
          <cell r="D23" t="str">
            <v>--</v>
          </cell>
          <cell r="E23">
            <v>0</v>
          </cell>
          <cell r="F23" t="str">
            <v>--</v>
          </cell>
          <cell r="I23" t="str">
            <v>--</v>
          </cell>
          <cell r="J23">
            <v>0</v>
          </cell>
          <cell r="K23">
            <v>0</v>
          </cell>
        </row>
      </sheetData>
      <sheetData sheetId="6"/>
      <sheetData sheetId="7">
        <row r="47">
          <cell r="C47" t="str">
            <v>--</v>
          </cell>
          <cell r="F47" t="str">
            <v>--</v>
          </cell>
          <cell r="H47" t="str">
            <v>--</v>
          </cell>
        </row>
      </sheetData>
      <sheetData sheetId="8">
        <row r="29">
          <cell r="D29" t="str">
            <v>--</v>
          </cell>
          <cell r="G29" t="str">
            <v>--</v>
          </cell>
          <cell r="J29" t="str">
            <v>--</v>
          </cell>
        </row>
      </sheetData>
      <sheetData sheetId="9">
        <row r="27">
          <cell r="C27" t="str">
            <v>--</v>
          </cell>
          <cell r="D27">
            <v>0</v>
          </cell>
          <cell r="E27">
            <v>0</v>
          </cell>
          <cell r="F27" t="str">
            <v>--</v>
          </cell>
          <cell r="I27" t="str">
            <v>--</v>
          </cell>
          <cell r="J27">
            <v>0</v>
          </cell>
          <cell r="K27">
            <v>0</v>
          </cell>
        </row>
      </sheetData>
      <sheetData sheetId="10">
        <row r="43">
          <cell r="G43" t="str">
            <v>--</v>
          </cell>
          <cell r="M43" t="str">
            <v>--</v>
          </cell>
          <cell r="N43">
            <v>0</v>
          </cell>
          <cell r="O43">
            <v>0</v>
          </cell>
          <cell r="P43">
            <v>0</v>
          </cell>
          <cell r="Q43">
            <v>0</v>
          </cell>
          <cell r="R43">
            <v>0</v>
          </cell>
          <cell r="S43">
            <v>0</v>
          </cell>
          <cell r="T43">
            <v>0</v>
          </cell>
          <cell r="U43">
            <v>0</v>
          </cell>
          <cell r="V43">
            <v>0</v>
          </cell>
          <cell r="W43">
            <v>0</v>
          </cell>
          <cell r="X43">
            <v>0</v>
          </cell>
          <cell r="Y43" t="str">
            <v>--</v>
          </cell>
        </row>
      </sheetData>
      <sheetData sheetId="11">
        <row r="29">
          <cell r="L29" t="str">
            <v>--</v>
          </cell>
          <cell r="W29" t="str">
            <v>--</v>
          </cell>
          <cell r="X29">
            <v>0</v>
          </cell>
          <cell r="AK29" t="str">
            <v>--</v>
          </cell>
        </row>
        <row r="30">
          <cell r="W30">
            <v>0</v>
          </cell>
          <cell r="X30">
            <v>0</v>
          </cell>
        </row>
        <row r="31">
          <cell r="W31">
            <v>0</v>
          </cell>
          <cell r="X31">
            <v>0</v>
          </cell>
        </row>
        <row r="32">
          <cell r="W32">
            <v>0</v>
          </cell>
          <cell r="X32">
            <v>0</v>
          </cell>
        </row>
        <row r="33">
          <cell r="W33">
            <v>0</v>
          </cell>
          <cell r="X33">
            <v>0</v>
          </cell>
        </row>
      </sheetData>
      <sheetData sheetId="12">
        <row r="42">
          <cell r="C42" t="str">
            <v>--</v>
          </cell>
          <cell r="F42" t="str">
            <v>--</v>
          </cell>
          <cell r="I42" t="str">
            <v>--</v>
          </cell>
        </row>
      </sheetData>
      <sheetData sheetId="13">
        <row r="55">
          <cell r="AL55" t="str">
            <v>--</v>
          </cell>
          <cell r="AM55">
            <v>0</v>
          </cell>
          <cell r="AN55" t="str">
            <v>--</v>
          </cell>
          <cell r="AO55">
            <v>0</v>
          </cell>
          <cell r="AP55" t="str">
            <v>--</v>
          </cell>
          <cell r="AQ55">
            <v>0</v>
          </cell>
        </row>
      </sheetData>
      <sheetData sheetId="14">
        <row r="55">
          <cell r="C55" t="str">
            <v>--</v>
          </cell>
          <cell r="E55" t="str">
            <v>--</v>
          </cell>
          <cell r="F55">
            <v>0</v>
          </cell>
          <cell r="G55" t="str">
            <v>--</v>
          </cell>
          <cell r="H55">
            <v>0</v>
          </cell>
        </row>
      </sheetData>
      <sheetData sheetId="15"/>
      <sheetData sheetId="16"/>
      <sheetData sheetId="17">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MANCILLA EDGAR</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ACHIARDI LEONARDO</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ARIAS JEIMY</v>
          </cell>
          <cell r="C29">
            <v>0</v>
          </cell>
        </row>
        <row r="30">
          <cell r="A30" t="str">
            <v>RINCON SATURNINO</v>
          </cell>
          <cell r="C30">
            <v>1</v>
          </cell>
        </row>
        <row r="31">
          <cell r="A31" t="str">
            <v>--</v>
          </cell>
          <cell r="C31">
            <v>0</v>
          </cell>
        </row>
        <row r="33">
          <cell r="A33" t="str">
            <v>GAVIRIA SONIA</v>
          </cell>
          <cell r="C33">
            <v>0</v>
          </cell>
        </row>
        <row r="34">
          <cell r="A34" t="str">
            <v>RIVERA MERCY</v>
          </cell>
          <cell r="C34">
            <v>0</v>
          </cell>
        </row>
        <row r="35">
          <cell r="A35" t="str">
            <v>--</v>
          </cell>
          <cell r="C35">
            <v>0</v>
          </cell>
        </row>
      </sheetData>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FM-003 HUMEDAD"/>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INV 222-13"/>
      <sheetName val="GRAVEDAD"/>
      <sheetName val="firmas"/>
      <sheetName val="Hoja1"/>
    </sheetNames>
    <sheetDataSet>
      <sheetData sheetId="0"/>
      <sheetData sheetId="1"/>
      <sheetData sheetId="2">
        <row r="55">
          <cell r="I55" t="str">
            <v>--</v>
          </cell>
          <cell r="J55">
            <v>0</v>
          </cell>
          <cell r="K55">
            <v>0</v>
          </cell>
          <cell r="L55">
            <v>0</v>
          </cell>
          <cell r="M55">
            <v>0</v>
          </cell>
          <cell r="N55">
            <v>0</v>
          </cell>
          <cell r="O55">
            <v>0</v>
          </cell>
          <cell r="P55">
            <v>0</v>
          </cell>
          <cell r="Q55" t="str">
            <v>--</v>
          </cell>
          <cell r="R55">
            <v>0</v>
          </cell>
          <cell r="S55">
            <v>0</v>
          </cell>
          <cell r="T55">
            <v>0</v>
          </cell>
          <cell r="U55">
            <v>0</v>
          </cell>
          <cell r="V55">
            <v>0</v>
          </cell>
          <cell r="W55">
            <v>0</v>
          </cell>
          <cell r="X55">
            <v>0</v>
          </cell>
          <cell r="Y55" t="str">
            <v>--</v>
          </cell>
          <cell r="Z55">
            <v>0</v>
          </cell>
          <cell r="AA55">
            <v>0</v>
          </cell>
          <cell r="AB55">
            <v>0</v>
          </cell>
          <cell r="AC55">
            <v>0</v>
          </cell>
          <cell r="AD55">
            <v>0</v>
          </cell>
          <cell r="AE55">
            <v>0</v>
          </cell>
          <cell r="AF55">
            <v>0</v>
          </cell>
        </row>
      </sheetData>
      <sheetData sheetId="3">
        <row r="38">
          <cell r="F38" t="str">
            <v>--</v>
          </cell>
          <cell r="L38" t="str">
            <v>--</v>
          </cell>
          <cell r="T38" t="str">
            <v>--</v>
          </cell>
        </row>
      </sheetData>
      <sheetData sheetId="4">
        <row r="44">
          <cell r="I44" t="str">
            <v>--</v>
          </cell>
          <cell r="R44" t="str">
            <v>--</v>
          </cell>
          <cell r="AC44" t="str">
            <v>--</v>
          </cell>
        </row>
      </sheetData>
      <sheetData sheetId="5">
        <row r="23">
          <cell r="D23" t="str">
            <v>--</v>
          </cell>
          <cell r="E23">
            <v>0</v>
          </cell>
          <cell r="F23" t="str">
            <v>--</v>
          </cell>
          <cell r="I23" t="str">
            <v>--</v>
          </cell>
          <cell r="J23">
            <v>0</v>
          </cell>
          <cell r="K23">
            <v>0</v>
          </cell>
        </row>
      </sheetData>
      <sheetData sheetId="6"/>
      <sheetData sheetId="7">
        <row r="47">
          <cell r="C47" t="str">
            <v>--</v>
          </cell>
          <cell r="F47" t="str">
            <v>--</v>
          </cell>
          <cell r="H47" t="str">
            <v>--</v>
          </cell>
        </row>
      </sheetData>
      <sheetData sheetId="8">
        <row r="29">
          <cell r="D29" t="str">
            <v>--</v>
          </cell>
        </row>
      </sheetData>
      <sheetData sheetId="9">
        <row r="27">
          <cell r="C27" t="str">
            <v>--</v>
          </cell>
          <cell r="D27">
            <v>0</v>
          </cell>
          <cell r="E27">
            <v>0</v>
          </cell>
          <cell r="F27" t="str">
            <v>--</v>
          </cell>
          <cell r="I27" t="str">
            <v>--</v>
          </cell>
          <cell r="J27">
            <v>0</v>
          </cell>
          <cell r="K27">
            <v>0</v>
          </cell>
        </row>
      </sheetData>
      <sheetData sheetId="10">
        <row r="43">
          <cell r="G43" t="str">
            <v>--</v>
          </cell>
          <cell r="M43" t="str">
            <v>--</v>
          </cell>
          <cell r="N43">
            <v>0</v>
          </cell>
          <cell r="O43">
            <v>0</v>
          </cell>
          <cell r="P43">
            <v>0</v>
          </cell>
          <cell r="Q43">
            <v>0</v>
          </cell>
          <cell r="R43">
            <v>0</v>
          </cell>
          <cell r="S43">
            <v>0</v>
          </cell>
          <cell r="T43">
            <v>0</v>
          </cell>
          <cell r="U43">
            <v>0</v>
          </cell>
          <cell r="V43">
            <v>0</v>
          </cell>
          <cell r="W43">
            <v>0</v>
          </cell>
          <cell r="X43">
            <v>0</v>
          </cell>
          <cell r="Y43" t="str">
            <v>--</v>
          </cell>
        </row>
      </sheetData>
      <sheetData sheetId="11">
        <row r="29">
          <cell r="L29" t="str">
            <v>--</v>
          </cell>
          <cell r="W29" t="str">
            <v>--</v>
          </cell>
          <cell r="X29">
            <v>0</v>
          </cell>
          <cell r="AK29" t="str">
            <v>--</v>
          </cell>
        </row>
        <row r="30">
          <cell r="W30">
            <v>0</v>
          </cell>
          <cell r="X30">
            <v>0</v>
          </cell>
        </row>
        <row r="31">
          <cell r="W31">
            <v>0</v>
          </cell>
          <cell r="X31">
            <v>0</v>
          </cell>
        </row>
        <row r="32">
          <cell r="W32">
            <v>0</v>
          </cell>
          <cell r="X32">
            <v>0</v>
          </cell>
        </row>
        <row r="33">
          <cell r="W33">
            <v>0</v>
          </cell>
          <cell r="X33">
            <v>0</v>
          </cell>
        </row>
      </sheetData>
      <sheetData sheetId="12">
        <row r="42">
          <cell r="C42" t="str">
            <v>--</v>
          </cell>
          <cell r="F42" t="str">
            <v>--</v>
          </cell>
          <cell r="I42" t="str">
            <v>--</v>
          </cell>
        </row>
      </sheetData>
      <sheetData sheetId="13">
        <row r="55">
          <cell r="AL55" t="str">
            <v>--</v>
          </cell>
          <cell r="AM55">
            <v>0</v>
          </cell>
          <cell r="AN55" t="str">
            <v>--</v>
          </cell>
          <cell r="AO55">
            <v>0</v>
          </cell>
          <cell r="AP55" t="str">
            <v>--</v>
          </cell>
          <cell r="AQ55">
            <v>0</v>
          </cell>
        </row>
      </sheetData>
      <sheetData sheetId="14">
        <row r="55">
          <cell r="C55" t="str">
            <v>--</v>
          </cell>
          <cell r="E55" t="str">
            <v>--</v>
          </cell>
          <cell r="F55">
            <v>0</v>
          </cell>
          <cell r="G55" t="str">
            <v>--</v>
          </cell>
          <cell r="H55">
            <v>0</v>
          </cell>
        </row>
      </sheetData>
      <sheetData sheetId="15"/>
      <sheetData sheetId="16"/>
      <sheetData sheetId="17">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MANCILLA EDGAR</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ACHIARDI LEONARDO</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ARIAS JEIMY</v>
          </cell>
          <cell r="C29">
            <v>0</v>
          </cell>
        </row>
        <row r="30">
          <cell r="A30" t="str">
            <v>RINCON SATURNINO</v>
          </cell>
          <cell r="C30">
            <v>1</v>
          </cell>
        </row>
        <row r="31">
          <cell r="A31" t="str">
            <v>--</v>
          </cell>
          <cell r="C31">
            <v>0</v>
          </cell>
        </row>
        <row r="33">
          <cell r="A33" t="str">
            <v>GAVIRIA SONIA</v>
          </cell>
          <cell r="C33">
            <v>0</v>
          </cell>
        </row>
        <row r="34">
          <cell r="A34" t="str">
            <v>RIVERA MERCY</v>
          </cell>
          <cell r="C34">
            <v>0</v>
          </cell>
        </row>
        <row r="35">
          <cell r="A35" t="str">
            <v>--</v>
          </cell>
          <cell r="C35">
            <v>0</v>
          </cell>
        </row>
      </sheetData>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M1"/>
    </sheetNames>
    <sheetDataSet>
      <sheetData sheetId="0">
        <row r="18">
          <cell r="C18">
            <v>50</v>
          </cell>
        </row>
        <row r="61">
          <cell r="E61" t="str">
            <v>--</v>
          </cell>
          <cell r="J61" t="str">
            <v>--</v>
          </cell>
          <cell r="N61"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M1"/>
      <sheetName val="M.O.  M1"/>
      <sheetName val="CLASIFICACION M2"/>
      <sheetName val="LIMITES M2"/>
      <sheetName val="HUMEDAD 2"/>
      <sheetName val="EQUIVALENTE M2"/>
      <sheetName val="M.O.  M2"/>
      <sheetName val="CLASIFICACION M3"/>
      <sheetName val="LIMITES M3"/>
      <sheetName val="HUMEDAD 2 (2)"/>
      <sheetName val="EQUIVALENTE M3"/>
      <sheetName val="M.O.  M3"/>
      <sheetName val="firmas"/>
    </sheetNames>
    <sheetDataSet>
      <sheetData sheetId="0" refreshError="1"/>
      <sheetData sheetId="1" refreshError="1"/>
      <sheetData sheetId="2" refreshError="1"/>
      <sheetData sheetId="3" refreshError="1"/>
      <sheetData sheetId="4" refreshError="1">
        <row r="6">
          <cell r="E6" t="str">
            <v/>
          </cell>
        </row>
        <row r="48">
          <cell r="J48" t="str">
            <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6">
          <cell r="A26" t="str">
            <v>--</v>
          </cell>
        </row>
        <row r="33">
          <cell r="A33" t="str">
            <v>VARGAS PABLO</v>
          </cell>
        </row>
        <row r="34">
          <cell r="A34" t="str">
            <v>CONTRERAS WILINTONG</v>
          </cell>
        </row>
        <row r="35">
          <cell r="A35" t="str">
            <v>--</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ion "/>
      <sheetName val="Desgaste"/>
      <sheetName val="Microdeval "/>
      <sheetName val="10% De Finos"/>
      <sheetName val="Solidez"/>
      <sheetName val="Desgaste "/>
      <sheetName val="LIMITES "/>
      <sheetName val="EQUIVALENTE"/>
      <sheetName val="TERRONES DE ARCILLA"/>
      <sheetName val="CF - IF "/>
      <sheetName val="ANGULARIDAD"/>
      <sheetName val="PROCTOR"/>
      <sheetName val=" CBR 1"/>
      <sheetName val=" CBR (2)"/>
      <sheetName val="firmas"/>
      <sheetName val="Hoja1"/>
    </sheetNames>
    <sheetDataSet>
      <sheetData sheetId="0">
        <row r="46">
          <cell r="I46" t="str">
            <v>--</v>
          </cell>
        </row>
      </sheetData>
      <sheetData sheetId="1">
        <row r="38">
          <cell r="F38" t="str">
            <v>--</v>
          </cell>
        </row>
      </sheetData>
      <sheetData sheetId="2">
        <row r="44">
          <cell r="I44" t="str">
            <v>--</v>
          </cell>
        </row>
      </sheetData>
      <sheetData sheetId="3">
        <row r="23">
          <cell r="D23" t="str">
            <v>--</v>
          </cell>
        </row>
      </sheetData>
      <sheetData sheetId="4">
        <row r="47">
          <cell r="H47" t="str">
            <v>--</v>
          </cell>
        </row>
      </sheetData>
      <sheetData sheetId="5">
        <row r="36">
          <cell r="F36" t="str">
            <v>MANCILLA EDGAR</v>
          </cell>
          <cell r="G36">
            <v>0</v>
          </cell>
          <cell r="H36">
            <v>0</v>
          </cell>
          <cell r="I36">
            <v>0</v>
          </cell>
          <cell r="J36">
            <v>0</v>
          </cell>
          <cell r="K36">
            <v>0</v>
          </cell>
          <cell r="L36">
            <v>0</v>
          </cell>
          <cell r="M36" t="str">
            <v>ARIAS JENNIFER</v>
          </cell>
          <cell r="N36">
            <v>0</v>
          </cell>
          <cell r="O36">
            <v>0</v>
          </cell>
          <cell r="P36">
            <v>0</v>
          </cell>
          <cell r="Q36">
            <v>0</v>
          </cell>
          <cell r="R36">
            <v>0</v>
          </cell>
          <cell r="S36">
            <v>0</v>
          </cell>
          <cell r="T36" t="str">
            <v>GAVIRIA SONIA</v>
          </cell>
          <cell r="U36">
            <v>0</v>
          </cell>
          <cell r="V36">
            <v>0</v>
          </cell>
          <cell r="W36">
            <v>0</v>
          </cell>
          <cell r="X36">
            <v>0</v>
          </cell>
          <cell r="Y36">
            <v>0</v>
          </cell>
          <cell r="Z36">
            <v>0</v>
          </cell>
        </row>
      </sheetData>
      <sheetData sheetId="6"/>
      <sheetData sheetId="7">
        <row r="29">
          <cell r="D29" t="str">
            <v>--</v>
          </cell>
        </row>
      </sheetData>
      <sheetData sheetId="8">
        <row r="27">
          <cell r="C27" t="str">
            <v>--</v>
          </cell>
        </row>
      </sheetData>
      <sheetData sheetId="9">
        <row r="43">
          <cell r="G43" t="str">
            <v>--</v>
          </cell>
        </row>
      </sheetData>
      <sheetData sheetId="10">
        <row r="29">
          <cell r="L29" t="str">
            <v>--</v>
          </cell>
        </row>
      </sheetData>
      <sheetData sheetId="11">
        <row r="42">
          <cell r="C42" t="str">
            <v>--</v>
          </cell>
        </row>
      </sheetData>
      <sheetData sheetId="12">
        <row r="55">
          <cell r="AL55" t="str">
            <v>--</v>
          </cell>
        </row>
      </sheetData>
      <sheetData sheetId="13">
        <row r="55">
          <cell r="C55" t="str">
            <v>--</v>
          </cell>
        </row>
      </sheetData>
      <sheetData sheetId="14">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v>0</v>
          </cell>
          <cell r="C13">
            <v>0</v>
          </cell>
        </row>
        <row r="14">
          <cell r="A14" t="str">
            <v>ALBARRACIN JAIRO</v>
          </cell>
          <cell r="C14">
            <v>0</v>
          </cell>
        </row>
        <row r="15">
          <cell r="A15" t="str">
            <v>ALMONACID JIMMY</v>
          </cell>
          <cell r="C15">
            <v>0</v>
          </cell>
        </row>
        <row r="16">
          <cell r="A16" t="str">
            <v>CANO LUIS EDUARDO</v>
          </cell>
          <cell r="C16">
            <v>0</v>
          </cell>
        </row>
        <row r="17">
          <cell r="A17">
            <v>0</v>
          </cell>
          <cell r="C17">
            <v>0</v>
          </cell>
        </row>
        <row r="18">
          <cell r="A18" t="str">
            <v>GOMEZ LUIS CARLOS</v>
          </cell>
          <cell r="C18">
            <v>0</v>
          </cell>
        </row>
        <row r="19">
          <cell r="A19">
            <v>0</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RINCON SATURNINO</v>
          </cell>
          <cell r="C29">
            <v>0</v>
          </cell>
        </row>
        <row r="30">
          <cell r="A30">
            <v>0</v>
          </cell>
          <cell r="C30">
            <v>1</v>
          </cell>
        </row>
        <row r="31">
          <cell r="A31" t="str">
            <v>--</v>
          </cell>
          <cell r="C31">
            <v>0</v>
          </cell>
        </row>
        <row r="33">
          <cell r="A33" t="str">
            <v xml:space="preserve">VARGAS PABLO </v>
          </cell>
          <cell r="C33">
            <v>0</v>
          </cell>
        </row>
        <row r="34">
          <cell r="A34" t="str">
            <v>RIVERA MERCY</v>
          </cell>
          <cell r="C34">
            <v>0</v>
          </cell>
        </row>
        <row r="35">
          <cell r="A35" t="str">
            <v>--</v>
          </cell>
          <cell r="C35">
            <v>0</v>
          </cell>
        </row>
      </sheetData>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ion "/>
      <sheetName val="Desgaste"/>
      <sheetName val="Microdeval "/>
      <sheetName val="10% De Finos"/>
      <sheetName val="Solidez"/>
      <sheetName val="Desgaste "/>
      <sheetName val="LIMITES "/>
      <sheetName val="EQUIVALENTE"/>
      <sheetName val="TERRONES DE ARCILLA"/>
      <sheetName val="CF - IF "/>
      <sheetName val="ANGULARIDAD"/>
      <sheetName val="PROCTOR"/>
      <sheetName val=" CBR 1"/>
      <sheetName val=" CBR (2)"/>
      <sheetName val="firmas"/>
      <sheetName val="Hoja1"/>
    </sheetNames>
    <sheetDataSet>
      <sheetData sheetId="0">
        <row r="46">
          <cell r="I46" t="str">
            <v>--</v>
          </cell>
        </row>
      </sheetData>
      <sheetData sheetId="1">
        <row r="38">
          <cell r="F38" t="str">
            <v>--</v>
          </cell>
        </row>
      </sheetData>
      <sheetData sheetId="2">
        <row r="44">
          <cell r="I44" t="str">
            <v>--</v>
          </cell>
        </row>
      </sheetData>
      <sheetData sheetId="3">
        <row r="23">
          <cell r="D23" t="str">
            <v>--</v>
          </cell>
        </row>
      </sheetData>
      <sheetData sheetId="4">
        <row r="47">
          <cell r="H47" t="str">
            <v>--</v>
          </cell>
        </row>
      </sheetData>
      <sheetData sheetId="5">
        <row r="36">
          <cell r="F36" t="str">
            <v>MANCILLA EDGAR</v>
          </cell>
          <cell r="M36" t="str">
            <v>ARIAS JENNIFER</v>
          </cell>
          <cell r="T36" t="str">
            <v>GAVIRIA SONIA</v>
          </cell>
        </row>
      </sheetData>
      <sheetData sheetId="6">
        <row r="40">
          <cell r="L40">
            <v>25</v>
          </cell>
        </row>
      </sheetData>
      <sheetData sheetId="7">
        <row r="29">
          <cell r="D29" t="str">
            <v>--</v>
          </cell>
        </row>
      </sheetData>
      <sheetData sheetId="8">
        <row r="27">
          <cell r="C27" t="str">
            <v>--</v>
          </cell>
        </row>
      </sheetData>
      <sheetData sheetId="9">
        <row r="43">
          <cell r="G43" t="str">
            <v>--</v>
          </cell>
        </row>
      </sheetData>
      <sheetData sheetId="10">
        <row r="29">
          <cell r="L29" t="str">
            <v>--</v>
          </cell>
        </row>
      </sheetData>
      <sheetData sheetId="11">
        <row r="42">
          <cell r="C42" t="str">
            <v>--</v>
          </cell>
        </row>
      </sheetData>
      <sheetData sheetId="12">
        <row r="55">
          <cell r="AL55" t="str">
            <v>--</v>
          </cell>
        </row>
      </sheetData>
      <sheetData sheetId="13">
        <row r="55">
          <cell r="C55" t="str">
            <v>--</v>
          </cell>
        </row>
      </sheetData>
      <sheetData sheetId="14">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RESUMEN BG"/>
      <sheetName val="A"/>
    </sheetNames>
    <sheetDataSet>
      <sheetData sheetId="0">
        <row r="46">
          <cell r="G46" t="str">
            <v>--</v>
          </cell>
        </row>
      </sheetData>
      <sheetData sheetId="1">
        <row r="11">
          <cell r="I11" t="str">
            <v/>
          </cell>
        </row>
      </sheetData>
      <sheetData sheetId="2">
        <row r="38">
          <cell r="F38" t="str">
            <v>--</v>
          </cell>
        </row>
      </sheetData>
      <sheetData sheetId="3">
        <row r="44">
          <cell r="I44" t="str">
            <v>--</v>
          </cell>
        </row>
      </sheetData>
      <sheetData sheetId="4">
        <row r="23">
          <cell r="D23" t="str">
            <v>--</v>
          </cell>
        </row>
      </sheetData>
      <sheetData sheetId="5"/>
      <sheetData sheetId="6">
        <row r="26">
          <cell r="H26" t="str">
            <v/>
          </cell>
        </row>
      </sheetData>
      <sheetData sheetId="7">
        <row r="27">
          <cell r="U27" t="str">
            <v/>
          </cell>
        </row>
      </sheetData>
      <sheetData sheetId="8">
        <row r="21">
          <cell r="G21" t="str">
            <v/>
          </cell>
        </row>
      </sheetData>
      <sheetData sheetId="9">
        <row r="23">
          <cell r="G23" t="str">
            <v/>
          </cell>
        </row>
      </sheetData>
      <sheetData sheetId="10">
        <row r="21">
          <cell r="J21" t="str">
            <v/>
          </cell>
        </row>
      </sheetData>
      <sheetData sheetId="11">
        <row r="16">
          <cell r="H16" t="str">
            <v/>
          </cell>
        </row>
      </sheetData>
      <sheetData sheetId="12">
        <row r="20">
          <cell r="N20" t="str">
            <v/>
          </cell>
        </row>
      </sheetData>
      <sheetData sheetId="13">
        <row r="30">
          <cell r="U30" t="str">
            <v/>
          </cell>
        </row>
      </sheetData>
      <sheetData sheetId="14">
        <row r="31">
          <cell r="D31" t="str">
            <v>--</v>
          </cell>
          <cell r="G31" t="str">
            <v>--</v>
          </cell>
          <cell r="J31" t="str">
            <v>--</v>
          </cell>
        </row>
      </sheetData>
      <sheetData sheetId="15">
        <row r="43">
          <cell r="G43" t="str">
            <v>--</v>
          </cell>
        </row>
      </sheetData>
      <sheetData sheetId="16">
        <row r="29">
          <cell r="L29" t="str">
            <v>--</v>
          </cell>
        </row>
      </sheetData>
      <sheetData sheetId="17">
        <row r="42">
          <cell r="C42" t="str">
            <v>--</v>
          </cell>
        </row>
      </sheetData>
      <sheetData sheetId="18">
        <row r="55">
          <cell r="AL55" t="str">
            <v>--</v>
          </cell>
        </row>
      </sheetData>
      <sheetData sheetId="19">
        <row r="55">
          <cell r="C55" t="str">
            <v>--</v>
          </cell>
        </row>
      </sheetData>
      <sheetData sheetId="20">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2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sheetName val="M.O.  M1"/>
      <sheetName val="CLASIFICACION M2"/>
      <sheetName val="LIMITES M2"/>
      <sheetName val="HUMEDAD 2"/>
      <sheetName val="EQUIVALENTE M2"/>
      <sheetName val="M.O.  M2"/>
      <sheetName val="CLASIFICACION M3"/>
      <sheetName val="LIMITES M3"/>
      <sheetName val="HUMEDAD 3"/>
      <sheetName val="EQUIVALENTE M3"/>
      <sheetName val="M.O.  M3"/>
      <sheetName val="firmas"/>
      <sheetName val="Gradacion "/>
    </sheetNames>
    <sheetDataSet>
      <sheetData sheetId="0"/>
      <sheetData sheetId="1">
        <row r="6">
          <cell r="C6">
            <v>0</v>
          </cell>
        </row>
      </sheetData>
      <sheetData sheetId="2">
        <row r="7">
          <cell r="O7" t="str">
            <v/>
          </cell>
        </row>
      </sheetData>
      <sheetData sheetId="3">
        <row r="57">
          <cell r="C57" t="str">
            <v>TEUTA DIEGO</v>
          </cell>
        </row>
      </sheetData>
      <sheetData sheetId="4">
        <row r="7">
          <cell r="O7" t="str">
            <v/>
          </cell>
        </row>
      </sheetData>
      <sheetData sheetId="5">
        <row r="40">
          <cell r="L40">
            <v>25</v>
          </cell>
        </row>
      </sheetData>
      <sheetData sheetId="6"/>
      <sheetData sheetId="7"/>
      <sheetData sheetId="8">
        <row r="29">
          <cell r="C29" t="str">
            <v>--</v>
          </cell>
        </row>
      </sheetData>
      <sheetData sheetId="9"/>
      <sheetData sheetId="10"/>
      <sheetData sheetId="11"/>
      <sheetData sheetId="12"/>
      <sheetData sheetId="13">
        <row r="29">
          <cell r="C29" t="str">
            <v>--</v>
          </cell>
          <cell r="F29" t="str">
            <v>--</v>
          </cell>
          <cell r="I29" t="str">
            <v>--</v>
          </cell>
        </row>
      </sheetData>
      <sheetData sheetId="14"/>
      <sheetData sheetId="15">
        <row r="52">
          <cell r="C52" t="str">
            <v>--</v>
          </cell>
        </row>
      </sheetData>
      <sheetData sheetId="16"/>
      <sheetData sheetId="17"/>
      <sheetData sheetId="18">
        <row r="29">
          <cell r="C29" t="str">
            <v>--</v>
          </cell>
          <cell r="F29" t="str">
            <v>--</v>
          </cell>
          <cell r="I29" t="str">
            <v>--</v>
          </cell>
        </row>
      </sheetData>
      <sheetData sheetId="19">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GOMEZ LUIS CARLOS</v>
          </cell>
        </row>
        <row r="18">
          <cell r="A18" t="str">
            <v>TEUTA DIEGO</v>
          </cell>
        </row>
        <row r="19">
          <cell r="A19" t="str">
            <v>VARGAS RODOLFO</v>
          </cell>
        </row>
        <row r="20">
          <cell r="A20" t="str">
            <v>VILLANUEVA BRAYAN</v>
          </cell>
        </row>
        <row r="21">
          <cell r="A21" t="str">
            <v xml:space="preserve">MOLINA JOSE </v>
          </cell>
        </row>
        <row r="22">
          <cell r="A22" t="str">
            <v>RINCON JOSE</v>
          </cell>
        </row>
        <row r="23">
          <cell r="A23" t="str">
            <v>ARANDA EDWIN</v>
          </cell>
        </row>
        <row r="24">
          <cell r="A24" t="str">
            <v>--</v>
          </cell>
        </row>
        <row r="26">
          <cell r="A26" t="str">
            <v>ARIAS JENNIFER</v>
          </cell>
          <cell r="B26" t="str">
            <v>Analista  técnico</v>
          </cell>
        </row>
        <row r="27">
          <cell r="A27" t="str">
            <v xml:space="preserve">VARGAS PABLO </v>
          </cell>
          <cell r="B27" t="str">
            <v>Coordinador técnico</v>
          </cell>
        </row>
        <row r="28">
          <cell r="A28" t="str">
            <v>--</v>
          </cell>
          <cell r="C28">
            <v>1</v>
          </cell>
        </row>
        <row r="29">
          <cell r="A29" t="str">
            <v>--</v>
          </cell>
        </row>
        <row r="31">
          <cell r="A31" t="str">
            <v xml:space="preserve">VARGAS PABLO </v>
          </cell>
        </row>
        <row r="32">
          <cell r="A32" t="str">
            <v>CONTRERAS WILINTONG</v>
          </cell>
        </row>
        <row r="33">
          <cell r="A33" t="str">
            <v>--</v>
          </cell>
        </row>
      </sheetData>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RESUMEN B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
          <cell r="A33" t="str">
            <v>GAVIRIA SONIA</v>
          </cell>
        </row>
        <row r="34">
          <cell r="A34" t="str">
            <v>RIVERA MERCY</v>
          </cell>
        </row>
        <row r="35">
          <cell r="A35" t="str">
            <v>--</v>
          </cell>
        </row>
      </sheetData>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VEDAD"/>
      <sheetName val="firmas"/>
    </sheetNames>
    <sheetDataSet>
      <sheetData sheetId="0" refreshError="1"/>
      <sheetData sheetId="1" refreshError="1">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row>
        <row r="34">
          <cell r="A34" t="str">
            <v>RIVERA MERCY</v>
          </cell>
        </row>
        <row r="35">
          <cell r="A35" t="str">
            <v>--</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s>
    <sheetDataSet>
      <sheetData sheetId="0">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s>
    <sheetDataSet>
      <sheetData sheetId="0">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012-019 (2)"/>
      <sheetName val="012-020 (1)"/>
      <sheetName val="012-020 (2)"/>
      <sheetName val="012-020 (6)"/>
      <sheetName val="012-029 (1)"/>
      <sheetName val="012-029 (2)"/>
      <sheetName val="012-030"/>
      <sheetName val="012-033"/>
      <sheetName val="012-034"/>
      <sheetName val="012-03"/>
      <sheetName val="012-107"/>
      <sheetName val="012-1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MEDAD "/>
      <sheetName val="firmas"/>
    </sheetNames>
    <sheetDataSet>
      <sheetData sheetId="0"/>
      <sheetData sheetId="1">
        <row r="2">
          <cell r="A2" t="str">
            <v>CHAPARRO CARLOS</v>
          </cell>
        </row>
        <row r="28">
          <cell r="A28" t="str">
            <v>ARIAS JENNIFER</v>
          </cell>
        </row>
        <row r="29">
          <cell r="A29" t="str">
            <v>RINCON SATURNINO</v>
          </cell>
        </row>
        <row r="30">
          <cell r="C30">
            <v>1</v>
          </cell>
        </row>
        <row r="31">
          <cell r="A31" t="str">
            <v>--</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IMETRIA (2)"/>
      <sheetName val="RESUMEN BG"/>
      <sheetName val="FM-003 HUMEDAD"/>
      <sheetName val="Gradacion "/>
      <sheetName val="Desgaste"/>
      <sheetName val="Microdeval "/>
      <sheetName val="10% De Finos"/>
      <sheetName val="LIMITES"/>
      <sheetName val="EQUIVALENTE"/>
      <sheetName val="Solidez"/>
      <sheetName val="TERRONES DE ARCILLA"/>
      <sheetName val="CF - IF "/>
      <sheetName val="ANGULARIDAD"/>
      <sheetName val="PROCTOR"/>
      <sheetName val=" CBR 1"/>
      <sheetName val=" CBR (2)"/>
      <sheetName val="Lavado tamiz N°200"/>
      <sheetName val="INV 222-13"/>
      <sheetName val="GRAVEDAD"/>
      <sheetName val="COLORIMETRIA"/>
      <sheetName val="firmas"/>
      <sheetName val="Hoja1"/>
    </sheetNames>
    <sheetDataSet>
      <sheetData sheetId="0" refreshError="1"/>
      <sheetData sheetId="1" refreshError="1"/>
      <sheetData sheetId="2" refreshError="1"/>
      <sheetData sheetId="3" refreshError="1"/>
      <sheetData sheetId="4" refreshError="1">
        <row r="18">
          <cell r="O18">
            <v>0</v>
          </cell>
        </row>
      </sheetData>
      <sheetData sheetId="5" refreshError="1">
        <row r="15">
          <cell r="Y15">
            <v>0</v>
          </cell>
        </row>
      </sheetData>
      <sheetData sheetId="6" refreshError="1">
        <row r="17">
          <cell r="H17">
            <v>0</v>
          </cell>
        </row>
        <row r="18">
          <cell r="H18">
            <v>0</v>
          </cell>
        </row>
      </sheetData>
      <sheetData sheetId="7" refreshError="1"/>
      <sheetData sheetId="8" refreshError="1"/>
      <sheetData sheetId="9" refreshError="1"/>
      <sheetData sheetId="10" refreshError="1"/>
      <sheetData sheetId="11" refreshError="1">
        <row r="20">
          <cell r="I20">
            <v>0</v>
          </cell>
          <cell r="R20">
            <v>0</v>
          </cell>
        </row>
        <row r="38">
          <cell r="J38">
            <v>0</v>
          </cell>
          <cell r="AE38">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A33" t="str">
            <v>GAVIRIA SONIA</v>
          </cell>
          <cell r="B33" t="str">
            <v>Líder del laboratorio</v>
          </cell>
        </row>
        <row r="34">
          <cell r="A34" t="str">
            <v>RIVERA MERCY</v>
          </cell>
          <cell r="B34" t="str">
            <v>Líder de acreditación</v>
          </cell>
        </row>
      </sheetData>
      <sheetData sheetId="2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firmas"/>
      <sheetName val="Hoja1"/>
    </sheetNames>
    <sheetDataSet>
      <sheetData sheetId="0">
        <row r="43">
          <cell r="G43" t="str">
            <v>--</v>
          </cell>
        </row>
      </sheetData>
      <sheetData sheetId="1">
        <row r="9">
          <cell r="AB9">
            <v>0</v>
          </cell>
        </row>
        <row r="14">
          <cell r="A14">
            <v>0</v>
          </cell>
          <cell r="U14">
            <v>0</v>
          </cell>
          <cell r="Y14">
            <v>0</v>
          </cell>
          <cell r="AC14">
            <v>0</v>
          </cell>
        </row>
        <row r="15">
          <cell r="A15">
            <v>0</v>
          </cell>
          <cell r="U15">
            <v>0</v>
          </cell>
          <cell r="Y15">
            <v>0</v>
          </cell>
          <cell r="AC15">
            <v>0</v>
          </cell>
        </row>
        <row r="16">
          <cell r="A16">
            <v>0</v>
          </cell>
          <cell r="U16">
            <v>0</v>
          </cell>
          <cell r="Y16">
            <v>0</v>
          </cell>
          <cell r="AC16">
            <v>0</v>
          </cell>
        </row>
        <row r="17">
          <cell r="A17">
            <v>0</v>
          </cell>
          <cell r="U17">
            <v>0</v>
          </cell>
          <cell r="Y17">
            <v>0</v>
          </cell>
          <cell r="AC17">
            <v>0</v>
          </cell>
        </row>
        <row r="18">
          <cell r="A18">
            <v>0</v>
          </cell>
          <cell r="U18">
            <v>0</v>
          </cell>
          <cell r="Y18">
            <v>0</v>
          </cell>
          <cell r="AC18">
            <v>0</v>
          </cell>
        </row>
        <row r="19">
          <cell r="A19">
            <v>0</v>
          </cell>
          <cell r="U19">
            <v>0</v>
          </cell>
          <cell r="Y19">
            <v>0</v>
          </cell>
          <cell r="AC19">
            <v>0</v>
          </cell>
        </row>
        <row r="20">
          <cell r="A20">
            <v>0</v>
          </cell>
          <cell r="U20">
            <v>0</v>
          </cell>
          <cell r="Y20">
            <v>0</v>
          </cell>
          <cell r="AC20">
            <v>0</v>
          </cell>
        </row>
        <row r="21">
          <cell r="A21">
            <v>0</v>
          </cell>
          <cell r="U21">
            <v>0</v>
          </cell>
          <cell r="Y21">
            <v>0</v>
          </cell>
          <cell r="AC21">
            <v>0</v>
          </cell>
        </row>
        <row r="22">
          <cell r="A22">
            <v>0</v>
          </cell>
          <cell r="U22">
            <v>0</v>
          </cell>
          <cell r="Y22">
            <v>0</v>
          </cell>
          <cell r="AC22">
            <v>0</v>
          </cell>
        </row>
        <row r="23">
          <cell r="A23">
            <v>0</v>
          </cell>
          <cell r="U23">
            <v>0</v>
          </cell>
          <cell r="Y23">
            <v>0</v>
          </cell>
          <cell r="AC23">
            <v>0</v>
          </cell>
        </row>
        <row r="34">
          <cell r="AM34" t="str">
            <v>Limite inferior</v>
          </cell>
          <cell r="AN34" t="str">
            <v>Limite superior</v>
          </cell>
        </row>
      </sheetData>
      <sheetData sheetId="2">
        <row r="38">
          <cell r="F38" t="str">
            <v>--</v>
          </cell>
        </row>
      </sheetData>
      <sheetData sheetId="3">
        <row r="44">
          <cell r="I44" t="str">
            <v>--</v>
          </cell>
        </row>
      </sheetData>
      <sheetData sheetId="4">
        <row r="23">
          <cell r="D23" t="str">
            <v>--</v>
          </cell>
        </row>
      </sheetData>
      <sheetData sheetId="5">
        <row r="47">
          <cell r="H47" t="str">
            <v>--</v>
          </cell>
        </row>
      </sheetData>
      <sheetData sheetId="6">
        <row r="47">
          <cell r="C47" t="str">
            <v>--</v>
          </cell>
        </row>
      </sheetData>
      <sheetData sheetId="7">
        <row r="29">
          <cell r="D29" t="str">
            <v>--</v>
          </cell>
        </row>
      </sheetData>
      <sheetData sheetId="8">
        <row r="27">
          <cell r="C27" t="str">
            <v>--</v>
          </cell>
        </row>
      </sheetData>
      <sheetData sheetId="9">
        <row r="43">
          <cell r="G43" t="str">
            <v>--</v>
          </cell>
        </row>
      </sheetData>
      <sheetData sheetId="10">
        <row r="29">
          <cell r="L29" t="str">
            <v>--</v>
          </cell>
        </row>
      </sheetData>
      <sheetData sheetId="11">
        <row r="42">
          <cell r="C42" t="str">
            <v>--</v>
          </cell>
        </row>
      </sheetData>
      <sheetData sheetId="12">
        <row r="55">
          <cell r="AL55" t="str">
            <v>--</v>
          </cell>
        </row>
      </sheetData>
      <sheetData sheetId="13">
        <row r="55">
          <cell r="C55" t="str">
            <v>--</v>
          </cell>
        </row>
      </sheetData>
      <sheetData sheetId="14">
        <row r="2">
          <cell r="A2" t="str">
            <v>CHAPARRO CARLOS</v>
          </cell>
        </row>
      </sheetData>
      <sheetData sheetId="1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EQUIVALENTE "/>
      <sheetName val="CLASIFICACION M2"/>
      <sheetName val="M.O.  M2"/>
      <sheetName val="CLASIFICACION M3"/>
      <sheetName val="M.O.  M3"/>
      <sheetName val="firmas"/>
      <sheetName val="EQUIVALENTE_M1"/>
    </sheetNames>
    <sheetDataSet>
      <sheetData sheetId="0"/>
      <sheetData sheetId="1"/>
      <sheetData sheetId="2">
        <row r="57">
          <cell r="F57" t="str">
            <v>--</v>
          </cell>
        </row>
      </sheetData>
      <sheetData sheetId="3">
        <row r="116">
          <cell r="B116" t="str">
            <v>--</v>
          </cell>
        </row>
      </sheetData>
      <sheetData sheetId="4">
        <row r="61">
          <cell r="E61" t="str">
            <v>--</v>
          </cell>
        </row>
      </sheetData>
      <sheetData sheetId="5"/>
      <sheetData sheetId="6"/>
      <sheetData sheetId="7">
        <row r="27">
          <cell r="C27">
            <v>0</v>
          </cell>
        </row>
      </sheetData>
      <sheetData sheetId="8"/>
      <sheetData sheetId="9"/>
      <sheetData sheetId="10">
        <row r="2">
          <cell r="A2" t="str">
            <v>CHAPARRO CARLOS</v>
          </cell>
        </row>
        <row r="33">
          <cell r="A33" t="str">
            <v>GAVIRIA SONIA</v>
          </cell>
          <cell r="B33" t="str">
            <v>Líder del laboratorio</v>
          </cell>
        </row>
        <row r="34">
          <cell r="A34" t="str">
            <v>RIVERA MERCY</v>
          </cell>
          <cell r="B34" t="str">
            <v>Líder de acreditación</v>
          </cell>
        </row>
      </sheetData>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firmas"/>
      <sheetName val="Hoja1"/>
    </sheetNames>
    <sheetDataSet>
      <sheetData sheetId="0"/>
      <sheetData sheetId="1">
        <row r="7">
          <cell r="AB7">
            <v>0</v>
          </cell>
        </row>
        <row r="8">
          <cell r="AB8">
            <v>0</v>
          </cell>
        </row>
        <row r="9">
          <cell r="AB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Recipiente"/>
      <sheetName val="Guia rec."/>
      <sheetName val="MEZCLAS"/>
      <sheetName val="Módulo1"/>
      <sheetName val="Módulo11"/>
      <sheetName val="2-6"/>
      <sheetName val="LIMITE"/>
      <sheetName val="Hoja1"/>
      <sheetName val="CLAS-BO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Desgaste"/>
      <sheetName val="Microdeval "/>
      <sheetName val="10% De Finos"/>
      <sheetName val=" HUMEDAD"/>
      <sheetName val="Gradacion "/>
      <sheetName val="HUMEDAD "/>
      <sheetName val="Solidez"/>
      <sheetName val="LIMITES "/>
      <sheetName val="EQUIVALENTE"/>
      <sheetName val="TERRONES DE ARCILLA "/>
      <sheetName val="Lavado tamiz N°200"/>
      <sheetName val="INV 222-13 "/>
      <sheetName val="GRAVEDAD"/>
      <sheetName val="COLORIMETRIA"/>
      <sheetName val="CF - IF "/>
      <sheetName val="ANGULARIDAD"/>
      <sheetName val="PROCTOR"/>
      <sheetName val=" CBR 1"/>
      <sheetName val=" CBR (2)"/>
      <sheetName val="firmas"/>
      <sheetName val="Hoja1"/>
    </sheetNames>
    <sheetDataSet>
      <sheetData sheetId="0">
        <row r="50">
          <cell r="G50" t="str">
            <v>--</v>
          </cell>
        </row>
      </sheetData>
      <sheetData sheetId="1">
        <row r="38">
          <cell r="F38" t="str">
            <v>--</v>
          </cell>
        </row>
      </sheetData>
      <sheetData sheetId="2">
        <row r="44">
          <cell r="I44" t="str">
            <v>--</v>
          </cell>
        </row>
      </sheetData>
      <sheetData sheetId="3">
        <row r="23">
          <cell r="D23" t="str">
            <v>--</v>
          </cell>
        </row>
      </sheetData>
      <sheetData sheetId="4"/>
      <sheetData sheetId="5"/>
      <sheetData sheetId="6"/>
      <sheetData sheetId="7">
        <row r="47">
          <cell r="H47" t="str">
            <v>--</v>
          </cell>
        </row>
      </sheetData>
      <sheetData sheetId="8"/>
      <sheetData sheetId="9"/>
      <sheetData sheetId="10"/>
      <sheetData sheetId="11">
        <row r="22">
          <cell r="E22" t="str">
            <v>--</v>
          </cell>
        </row>
      </sheetData>
      <sheetData sheetId="12">
        <row r="45">
          <cell r="AA45" t="str">
            <v>--</v>
          </cell>
        </row>
      </sheetData>
      <sheetData sheetId="13"/>
      <sheetData sheetId="14">
        <row r="31">
          <cell r="D31" t="str">
            <v>--</v>
          </cell>
        </row>
      </sheetData>
      <sheetData sheetId="15"/>
      <sheetData sheetId="16">
        <row r="29">
          <cell r="L29" t="str">
            <v>--</v>
          </cell>
        </row>
      </sheetData>
      <sheetData sheetId="17">
        <row r="42">
          <cell r="C42" t="str">
            <v>--</v>
          </cell>
        </row>
      </sheetData>
      <sheetData sheetId="18">
        <row r="55">
          <cell r="AL55" t="str">
            <v>--</v>
          </cell>
        </row>
      </sheetData>
      <sheetData sheetId="19">
        <row r="55">
          <cell r="C55" t="str">
            <v>--</v>
          </cell>
        </row>
      </sheetData>
      <sheetData sheetId="20">
        <row r="2">
          <cell r="A2" t="str">
            <v>CHAPARRO CARLOS</v>
          </cell>
        </row>
        <row r="33">
          <cell r="A33" t="str">
            <v xml:space="preserve">VARGAS PABLO </v>
          </cell>
        </row>
        <row r="34">
          <cell r="A34" t="str">
            <v xml:space="preserve">CONTRERAS WILINTONG </v>
          </cell>
        </row>
        <row r="35">
          <cell r="A35" t="str">
            <v>--</v>
          </cell>
        </row>
      </sheetData>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B503"/>
  <sheetViews>
    <sheetView showGridLines="0" view="pageBreakPreview" zoomScaleSheetLayoutView="100" workbookViewId="0">
      <selection activeCell="E17" sqref="E17:X17"/>
    </sheetView>
  </sheetViews>
  <sheetFormatPr baseColWidth="10" defaultColWidth="11.5703125" defaultRowHeight="12"/>
  <cols>
    <col min="1" max="1" width="3.28515625" style="1209" customWidth="1"/>
    <col min="2" max="2" width="3.140625" style="1209" customWidth="1"/>
    <col min="3" max="3" width="4" style="1209" customWidth="1"/>
    <col min="4" max="4" width="4.42578125" style="1209" customWidth="1"/>
    <col min="5" max="5" width="4.28515625" style="1209" customWidth="1"/>
    <col min="6" max="6" width="4" style="1209" customWidth="1"/>
    <col min="7" max="7" width="3" style="1209" customWidth="1"/>
    <col min="8" max="8" width="3.42578125" style="1209" customWidth="1"/>
    <col min="9" max="12" width="3" style="1209" customWidth="1"/>
    <col min="13" max="13" width="1.5703125" style="1209" customWidth="1"/>
    <col min="14" max="14" width="2" style="1209" customWidth="1"/>
    <col min="15" max="15" width="3" style="1209" customWidth="1"/>
    <col min="16" max="16" width="2.7109375" style="1209" customWidth="1"/>
    <col min="17" max="17" width="3.5703125" style="1209" customWidth="1"/>
    <col min="18" max="18" width="4.42578125" style="1209" customWidth="1"/>
    <col min="19" max="19" width="4.85546875" style="1209" customWidth="1"/>
    <col min="20" max="20" width="2.28515625" style="1209" customWidth="1"/>
    <col min="21" max="21" width="6.85546875" style="1209" customWidth="1"/>
    <col min="22" max="23" width="5" style="1209" customWidth="1"/>
    <col min="24" max="24" width="14.42578125" style="1270" customWidth="1"/>
    <col min="25" max="25" width="5.5703125" style="1271" customWidth="1"/>
    <col min="26" max="26" width="11.5703125" style="1209"/>
    <col min="27" max="27" width="17.85546875" style="1270" customWidth="1"/>
    <col min="28" max="252" width="11.5703125" style="1209"/>
    <col min="253" max="257" width="3.28515625" style="1209" customWidth="1"/>
    <col min="258" max="269" width="3" style="1209" customWidth="1"/>
    <col min="270" max="270" width="4.140625" style="1209" customWidth="1"/>
    <col min="271" max="271" width="4.85546875" style="1209" customWidth="1"/>
    <col min="272" max="275" width="3.28515625" style="1209" customWidth="1"/>
    <col min="276" max="276" width="8" style="1209" customWidth="1"/>
    <col min="277" max="278" width="10.140625" style="1209" customWidth="1"/>
    <col min="279" max="508" width="11.5703125" style="1209"/>
    <col min="509" max="513" width="3.28515625" style="1209" customWidth="1"/>
    <col min="514" max="525" width="3" style="1209" customWidth="1"/>
    <col min="526" max="526" width="4.140625" style="1209" customWidth="1"/>
    <col min="527" max="527" width="4.85546875" style="1209" customWidth="1"/>
    <col min="528" max="531" width="3.28515625" style="1209" customWidth="1"/>
    <col min="532" max="532" width="8" style="1209" customWidth="1"/>
    <col min="533" max="534" width="10.140625" style="1209" customWidth="1"/>
    <col min="535" max="764" width="11.5703125" style="1209"/>
    <col min="765" max="769" width="3.28515625" style="1209" customWidth="1"/>
    <col min="770" max="781" width="3" style="1209" customWidth="1"/>
    <col min="782" max="782" width="4.140625" style="1209" customWidth="1"/>
    <col min="783" max="783" width="4.85546875" style="1209" customWidth="1"/>
    <col min="784" max="787" width="3.28515625" style="1209" customWidth="1"/>
    <col min="788" max="788" width="8" style="1209" customWidth="1"/>
    <col min="789" max="790" width="10.140625" style="1209" customWidth="1"/>
    <col min="791" max="1020" width="11.5703125" style="1209"/>
    <col min="1021" max="1025" width="3.28515625" style="1209" customWidth="1"/>
    <col min="1026" max="1037" width="3" style="1209" customWidth="1"/>
    <col min="1038" max="1038" width="4.140625" style="1209" customWidth="1"/>
    <col min="1039" max="1039" width="4.85546875" style="1209" customWidth="1"/>
    <col min="1040" max="1043" width="3.28515625" style="1209" customWidth="1"/>
    <col min="1044" max="1044" width="8" style="1209" customWidth="1"/>
    <col min="1045" max="1046" width="10.140625" style="1209" customWidth="1"/>
    <col min="1047" max="1276" width="11.5703125" style="1209"/>
    <col min="1277" max="1281" width="3.28515625" style="1209" customWidth="1"/>
    <col min="1282" max="1293" width="3" style="1209" customWidth="1"/>
    <col min="1294" max="1294" width="4.140625" style="1209" customWidth="1"/>
    <col min="1295" max="1295" width="4.85546875" style="1209" customWidth="1"/>
    <col min="1296" max="1299" width="3.28515625" style="1209" customWidth="1"/>
    <col min="1300" max="1300" width="8" style="1209" customWidth="1"/>
    <col min="1301" max="1302" width="10.140625" style="1209" customWidth="1"/>
    <col min="1303" max="1532" width="11.5703125" style="1209"/>
    <col min="1533" max="1537" width="3.28515625" style="1209" customWidth="1"/>
    <col min="1538" max="1549" width="3" style="1209" customWidth="1"/>
    <col min="1550" max="1550" width="4.140625" style="1209" customWidth="1"/>
    <col min="1551" max="1551" width="4.85546875" style="1209" customWidth="1"/>
    <col min="1552" max="1555" width="3.28515625" style="1209" customWidth="1"/>
    <col min="1556" max="1556" width="8" style="1209" customWidth="1"/>
    <col min="1557" max="1558" width="10.140625" style="1209" customWidth="1"/>
    <col min="1559" max="1788" width="11.5703125" style="1209"/>
    <col min="1789" max="1793" width="3.28515625" style="1209" customWidth="1"/>
    <col min="1794" max="1805" width="3" style="1209" customWidth="1"/>
    <col min="1806" max="1806" width="4.140625" style="1209" customWidth="1"/>
    <col min="1807" max="1807" width="4.85546875" style="1209" customWidth="1"/>
    <col min="1808" max="1811" width="3.28515625" style="1209" customWidth="1"/>
    <col min="1812" max="1812" width="8" style="1209" customWidth="1"/>
    <col min="1813" max="1814" width="10.140625" style="1209" customWidth="1"/>
    <col min="1815" max="2044" width="11.5703125" style="1209"/>
    <col min="2045" max="2049" width="3.28515625" style="1209" customWidth="1"/>
    <col min="2050" max="2061" width="3" style="1209" customWidth="1"/>
    <col min="2062" max="2062" width="4.140625" style="1209" customWidth="1"/>
    <col min="2063" max="2063" width="4.85546875" style="1209" customWidth="1"/>
    <col min="2064" max="2067" width="3.28515625" style="1209" customWidth="1"/>
    <col min="2068" max="2068" width="8" style="1209" customWidth="1"/>
    <col min="2069" max="2070" width="10.140625" style="1209" customWidth="1"/>
    <col min="2071" max="2300" width="11.5703125" style="1209"/>
    <col min="2301" max="2305" width="3.28515625" style="1209" customWidth="1"/>
    <col min="2306" max="2317" width="3" style="1209" customWidth="1"/>
    <col min="2318" max="2318" width="4.140625" style="1209" customWidth="1"/>
    <col min="2319" max="2319" width="4.85546875" style="1209" customWidth="1"/>
    <col min="2320" max="2323" width="3.28515625" style="1209" customWidth="1"/>
    <col min="2324" max="2324" width="8" style="1209" customWidth="1"/>
    <col min="2325" max="2326" width="10.140625" style="1209" customWidth="1"/>
    <col min="2327" max="2556" width="11.5703125" style="1209"/>
    <col min="2557" max="2561" width="3.28515625" style="1209" customWidth="1"/>
    <col min="2562" max="2573" width="3" style="1209" customWidth="1"/>
    <col min="2574" max="2574" width="4.140625" style="1209" customWidth="1"/>
    <col min="2575" max="2575" width="4.85546875" style="1209" customWidth="1"/>
    <col min="2576" max="2579" width="3.28515625" style="1209" customWidth="1"/>
    <col min="2580" max="2580" width="8" style="1209" customWidth="1"/>
    <col min="2581" max="2582" width="10.140625" style="1209" customWidth="1"/>
    <col min="2583" max="2812" width="11.5703125" style="1209"/>
    <col min="2813" max="2817" width="3.28515625" style="1209" customWidth="1"/>
    <col min="2818" max="2829" width="3" style="1209" customWidth="1"/>
    <col min="2830" max="2830" width="4.140625" style="1209" customWidth="1"/>
    <col min="2831" max="2831" width="4.85546875" style="1209" customWidth="1"/>
    <col min="2832" max="2835" width="3.28515625" style="1209" customWidth="1"/>
    <col min="2836" max="2836" width="8" style="1209" customWidth="1"/>
    <col min="2837" max="2838" width="10.140625" style="1209" customWidth="1"/>
    <col min="2839" max="3068" width="11.5703125" style="1209"/>
    <col min="3069" max="3073" width="3.28515625" style="1209" customWidth="1"/>
    <col min="3074" max="3085" width="3" style="1209" customWidth="1"/>
    <col min="3086" max="3086" width="4.140625" style="1209" customWidth="1"/>
    <col min="3087" max="3087" width="4.85546875" style="1209" customWidth="1"/>
    <col min="3088" max="3091" width="3.28515625" style="1209" customWidth="1"/>
    <col min="3092" max="3092" width="8" style="1209" customWidth="1"/>
    <col min="3093" max="3094" width="10.140625" style="1209" customWidth="1"/>
    <col min="3095" max="3324" width="11.5703125" style="1209"/>
    <col min="3325" max="3329" width="3.28515625" style="1209" customWidth="1"/>
    <col min="3330" max="3341" width="3" style="1209" customWidth="1"/>
    <col min="3342" max="3342" width="4.140625" style="1209" customWidth="1"/>
    <col min="3343" max="3343" width="4.85546875" style="1209" customWidth="1"/>
    <col min="3344" max="3347" width="3.28515625" style="1209" customWidth="1"/>
    <col min="3348" max="3348" width="8" style="1209" customWidth="1"/>
    <col min="3349" max="3350" width="10.140625" style="1209" customWidth="1"/>
    <col min="3351" max="3580" width="11.5703125" style="1209"/>
    <col min="3581" max="3585" width="3.28515625" style="1209" customWidth="1"/>
    <col min="3586" max="3597" width="3" style="1209" customWidth="1"/>
    <col min="3598" max="3598" width="4.140625" style="1209" customWidth="1"/>
    <col min="3599" max="3599" width="4.85546875" style="1209" customWidth="1"/>
    <col min="3600" max="3603" width="3.28515625" style="1209" customWidth="1"/>
    <col min="3604" max="3604" width="8" style="1209" customWidth="1"/>
    <col min="3605" max="3606" width="10.140625" style="1209" customWidth="1"/>
    <col min="3607" max="3836" width="11.5703125" style="1209"/>
    <col min="3837" max="3841" width="3.28515625" style="1209" customWidth="1"/>
    <col min="3842" max="3853" width="3" style="1209" customWidth="1"/>
    <col min="3854" max="3854" width="4.140625" style="1209" customWidth="1"/>
    <col min="3855" max="3855" width="4.85546875" style="1209" customWidth="1"/>
    <col min="3856" max="3859" width="3.28515625" style="1209" customWidth="1"/>
    <col min="3860" max="3860" width="8" style="1209" customWidth="1"/>
    <col min="3861" max="3862" width="10.140625" style="1209" customWidth="1"/>
    <col min="3863" max="4092" width="11.5703125" style="1209"/>
    <col min="4093" max="4097" width="3.28515625" style="1209" customWidth="1"/>
    <col min="4098" max="4109" width="3" style="1209" customWidth="1"/>
    <col min="4110" max="4110" width="4.140625" style="1209" customWidth="1"/>
    <col min="4111" max="4111" width="4.85546875" style="1209" customWidth="1"/>
    <col min="4112" max="4115" width="3.28515625" style="1209" customWidth="1"/>
    <col min="4116" max="4116" width="8" style="1209" customWidth="1"/>
    <col min="4117" max="4118" width="10.140625" style="1209" customWidth="1"/>
    <col min="4119" max="4348" width="11.5703125" style="1209"/>
    <col min="4349" max="4353" width="3.28515625" style="1209" customWidth="1"/>
    <col min="4354" max="4365" width="3" style="1209" customWidth="1"/>
    <col min="4366" max="4366" width="4.140625" style="1209" customWidth="1"/>
    <col min="4367" max="4367" width="4.85546875" style="1209" customWidth="1"/>
    <col min="4368" max="4371" width="3.28515625" style="1209" customWidth="1"/>
    <col min="4372" max="4372" width="8" style="1209" customWidth="1"/>
    <col min="4373" max="4374" width="10.140625" style="1209" customWidth="1"/>
    <col min="4375" max="4604" width="11.5703125" style="1209"/>
    <col min="4605" max="4609" width="3.28515625" style="1209" customWidth="1"/>
    <col min="4610" max="4621" width="3" style="1209" customWidth="1"/>
    <col min="4622" max="4622" width="4.140625" style="1209" customWidth="1"/>
    <col min="4623" max="4623" width="4.85546875" style="1209" customWidth="1"/>
    <col min="4624" max="4627" width="3.28515625" style="1209" customWidth="1"/>
    <col min="4628" max="4628" width="8" style="1209" customWidth="1"/>
    <col min="4629" max="4630" width="10.140625" style="1209" customWidth="1"/>
    <col min="4631" max="4860" width="11.5703125" style="1209"/>
    <col min="4861" max="4865" width="3.28515625" style="1209" customWidth="1"/>
    <col min="4866" max="4877" width="3" style="1209" customWidth="1"/>
    <col min="4878" max="4878" width="4.140625" style="1209" customWidth="1"/>
    <col min="4879" max="4879" width="4.85546875" style="1209" customWidth="1"/>
    <col min="4880" max="4883" width="3.28515625" style="1209" customWidth="1"/>
    <col min="4884" max="4884" width="8" style="1209" customWidth="1"/>
    <col min="4885" max="4886" width="10.140625" style="1209" customWidth="1"/>
    <col min="4887" max="5116" width="11.5703125" style="1209"/>
    <col min="5117" max="5121" width="3.28515625" style="1209" customWidth="1"/>
    <col min="5122" max="5133" width="3" style="1209" customWidth="1"/>
    <col min="5134" max="5134" width="4.140625" style="1209" customWidth="1"/>
    <col min="5135" max="5135" width="4.85546875" style="1209" customWidth="1"/>
    <col min="5136" max="5139" width="3.28515625" style="1209" customWidth="1"/>
    <col min="5140" max="5140" width="8" style="1209" customWidth="1"/>
    <col min="5141" max="5142" width="10.140625" style="1209" customWidth="1"/>
    <col min="5143" max="5372" width="11.5703125" style="1209"/>
    <col min="5373" max="5377" width="3.28515625" style="1209" customWidth="1"/>
    <col min="5378" max="5389" width="3" style="1209" customWidth="1"/>
    <col min="5390" max="5390" width="4.140625" style="1209" customWidth="1"/>
    <col min="5391" max="5391" width="4.85546875" style="1209" customWidth="1"/>
    <col min="5392" max="5395" width="3.28515625" style="1209" customWidth="1"/>
    <col min="5396" max="5396" width="8" style="1209" customWidth="1"/>
    <col min="5397" max="5398" width="10.140625" style="1209" customWidth="1"/>
    <col min="5399" max="5628" width="11.5703125" style="1209"/>
    <col min="5629" max="5633" width="3.28515625" style="1209" customWidth="1"/>
    <col min="5634" max="5645" width="3" style="1209" customWidth="1"/>
    <col min="5646" max="5646" width="4.140625" style="1209" customWidth="1"/>
    <col min="5647" max="5647" width="4.85546875" style="1209" customWidth="1"/>
    <col min="5648" max="5651" width="3.28515625" style="1209" customWidth="1"/>
    <col min="5652" max="5652" width="8" style="1209" customWidth="1"/>
    <col min="5653" max="5654" width="10.140625" style="1209" customWidth="1"/>
    <col min="5655" max="5884" width="11.5703125" style="1209"/>
    <col min="5885" max="5889" width="3.28515625" style="1209" customWidth="1"/>
    <col min="5890" max="5901" width="3" style="1209" customWidth="1"/>
    <col min="5902" max="5902" width="4.140625" style="1209" customWidth="1"/>
    <col min="5903" max="5903" width="4.85546875" style="1209" customWidth="1"/>
    <col min="5904" max="5907" width="3.28515625" style="1209" customWidth="1"/>
    <col min="5908" max="5908" width="8" style="1209" customWidth="1"/>
    <col min="5909" max="5910" width="10.140625" style="1209" customWidth="1"/>
    <col min="5911" max="6140" width="11.5703125" style="1209"/>
    <col min="6141" max="6145" width="3.28515625" style="1209" customWidth="1"/>
    <col min="6146" max="6157" width="3" style="1209" customWidth="1"/>
    <col min="6158" max="6158" width="4.140625" style="1209" customWidth="1"/>
    <col min="6159" max="6159" width="4.85546875" style="1209" customWidth="1"/>
    <col min="6160" max="6163" width="3.28515625" style="1209" customWidth="1"/>
    <col min="6164" max="6164" width="8" style="1209" customWidth="1"/>
    <col min="6165" max="6166" width="10.140625" style="1209" customWidth="1"/>
    <col min="6167" max="6396" width="11.5703125" style="1209"/>
    <col min="6397" max="6401" width="3.28515625" style="1209" customWidth="1"/>
    <col min="6402" max="6413" width="3" style="1209" customWidth="1"/>
    <col min="6414" max="6414" width="4.140625" style="1209" customWidth="1"/>
    <col min="6415" max="6415" width="4.85546875" style="1209" customWidth="1"/>
    <col min="6416" max="6419" width="3.28515625" style="1209" customWidth="1"/>
    <col min="6420" max="6420" width="8" style="1209" customWidth="1"/>
    <col min="6421" max="6422" width="10.140625" style="1209" customWidth="1"/>
    <col min="6423" max="6652" width="11.5703125" style="1209"/>
    <col min="6653" max="6657" width="3.28515625" style="1209" customWidth="1"/>
    <col min="6658" max="6669" width="3" style="1209" customWidth="1"/>
    <col min="6670" max="6670" width="4.140625" style="1209" customWidth="1"/>
    <col min="6671" max="6671" width="4.85546875" style="1209" customWidth="1"/>
    <col min="6672" max="6675" width="3.28515625" style="1209" customWidth="1"/>
    <col min="6676" max="6676" width="8" style="1209" customWidth="1"/>
    <col min="6677" max="6678" width="10.140625" style="1209" customWidth="1"/>
    <col min="6679" max="6908" width="11.5703125" style="1209"/>
    <col min="6909" max="6913" width="3.28515625" style="1209" customWidth="1"/>
    <col min="6914" max="6925" width="3" style="1209" customWidth="1"/>
    <col min="6926" max="6926" width="4.140625" style="1209" customWidth="1"/>
    <col min="6927" max="6927" width="4.85546875" style="1209" customWidth="1"/>
    <col min="6928" max="6931" width="3.28515625" style="1209" customWidth="1"/>
    <col min="6932" max="6932" width="8" style="1209" customWidth="1"/>
    <col min="6933" max="6934" width="10.140625" style="1209" customWidth="1"/>
    <col min="6935" max="7164" width="11.5703125" style="1209"/>
    <col min="7165" max="7169" width="3.28515625" style="1209" customWidth="1"/>
    <col min="7170" max="7181" width="3" style="1209" customWidth="1"/>
    <col min="7182" max="7182" width="4.140625" style="1209" customWidth="1"/>
    <col min="7183" max="7183" width="4.85546875" style="1209" customWidth="1"/>
    <col min="7184" max="7187" width="3.28515625" style="1209" customWidth="1"/>
    <col min="7188" max="7188" width="8" style="1209" customWidth="1"/>
    <col min="7189" max="7190" width="10.140625" style="1209" customWidth="1"/>
    <col min="7191" max="7420" width="11.5703125" style="1209"/>
    <col min="7421" max="7425" width="3.28515625" style="1209" customWidth="1"/>
    <col min="7426" max="7437" width="3" style="1209" customWidth="1"/>
    <col min="7438" max="7438" width="4.140625" style="1209" customWidth="1"/>
    <col min="7439" max="7439" width="4.85546875" style="1209" customWidth="1"/>
    <col min="7440" max="7443" width="3.28515625" style="1209" customWidth="1"/>
    <col min="7444" max="7444" width="8" style="1209" customWidth="1"/>
    <col min="7445" max="7446" width="10.140625" style="1209" customWidth="1"/>
    <col min="7447" max="7676" width="11.5703125" style="1209"/>
    <col min="7677" max="7681" width="3.28515625" style="1209" customWidth="1"/>
    <col min="7682" max="7693" width="3" style="1209" customWidth="1"/>
    <col min="7694" max="7694" width="4.140625" style="1209" customWidth="1"/>
    <col min="7695" max="7695" width="4.85546875" style="1209" customWidth="1"/>
    <col min="7696" max="7699" width="3.28515625" style="1209" customWidth="1"/>
    <col min="7700" max="7700" width="8" style="1209" customWidth="1"/>
    <col min="7701" max="7702" width="10.140625" style="1209" customWidth="1"/>
    <col min="7703" max="7932" width="11.5703125" style="1209"/>
    <col min="7933" max="7937" width="3.28515625" style="1209" customWidth="1"/>
    <col min="7938" max="7949" width="3" style="1209" customWidth="1"/>
    <col min="7950" max="7950" width="4.140625" style="1209" customWidth="1"/>
    <col min="7951" max="7951" width="4.85546875" style="1209" customWidth="1"/>
    <col min="7952" max="7955" width="3.28515625" style="1209" customWidth="1"/>
    <col min="7956" max="7956" width="8" style="1209" customWidth="1"/>
    <col min="7957" max="7958" width="10.140625" style="1209" customWidth="1"/>
    <col min="7959" max="8188" width="11.5703125" style="1209"/>
    <col min="8189" max="8193" width="3.28515625" style="1209" customWidth="1"/>
    <col min="8194" max="8205" width="3" style="1209" customWidth="1"/>
    <col min="8206" max="8206" width="4.140625" style="1209" customWidth="1"/>
    <col min="8207" max="8207" width="4.85546875" style="1209" customWidth="1"/>
    <col min="8208" max="8211" width="3.28515625" style="1209" customWidth="1"/>
    <col min="8212" max="8212" width="8" style="1209" customWidth="1"/>
    <col min="8213" max="8214" width="10.140625" style="1209" customWidth="1"/>
    <col min="8215" max="8444" width="11.5703125" style="1209"/>
    <col min="8445" max="8449" width="3.28515625" style="1209" customWidth="1"/>
    <col min="8450" max="8461" width="3" style="1209" customWidth="1"/>
    <col min="8462" max="8462" width="4.140625" style="1209" customWidth="1"/>
    <col min="8463" max="8463" width="4.85546875" style="1209" customWidth="1"/>
    <col min="8464" max="8467" width="3.28515625" style="1209" customWidth="1"/>
    <col min="8468" max="8468" width="8" style="1209" customWidth="1"/>
    <col min="8469" max="8470" width="10.140625" style="1209" customWidth="1"/>
    <col min="8471" max="8700" width="11.5703125" style="1209"/>
    <col min="8701" max="8705" width="3.28515625" style="1209" customWidth="1"/>
    <col min="8706" max="8717" width="3" style="1209" customWidth="1"/>
    <col min="8718" max="8718" width="4.140625" style="1209" customWidth="1"/>
    <col min="8719" max="8719" width="4.85546875" style="1209" customWidth="1"/>
    <col min="8720" max="8723" width="3.28515625" style="1209" customWidth="1"/>
    <col min="8724" max="8724" width="8" style="1209" customWidth="1"/>
    <col min="8725" max="8726" width="10.140625" style="1209" customWidth="1"/>
    <col min="8727" max="8956" width="11.5703125" style="1209"/>
    <col min="8957" max="8961" width="3.28515625" style="1209" customWidth="1"/>
    <col min="8962" max="8973" width="3" style="1209" customWidth="1"/>
    <col min="8974" max="8974" width="4.140625" style="1209" customWidth="1"/>
    <col min="8975" max="8975" width="4.85546875" style="1209" customWidth="1"/>
    <col min="8976" max="8979" width="3.28515625" style="1209" customWidth="1"/>
    <col min="8980" max="8980" width="8" style="1209" customWidth="1"/>
    <col min="8981" max="8982" width="10.140625" style="1209" customWidth="1"/>
    <col min="8983" max="9212" width="11.5703125" style="1209"/>
    <col min="9213" max="9217" width="3.28515625" style="1209" customWidth="1"/>
    <col min="9218" max="9229" width="3" style="1209" customWidth="1"/>
    <col min="9230" max="9230" width="4.140625" style="1209" customWidth="1"/>
    <col min="9231" max="9231" width="4.85546875" style="1209" customWidth="1"/>
    <col min="9232" max="9235" width="3.28515625" style="1209" customWidth="1"/>
    <col min="9236" max="9236" width="8" style="1209" customWidth="1"/>
    <col min="9237" max="9238" width="10.140625" style="1209" customWidth="1"/>
    <col min="9239" max="9468" width="11.5703125" style="1209"/>
    <col min="9469" max="9473" width="3.28515625" style="1209" customWidth="1"/>
    <col min="9474" max="9485" width="3" style="1209" customWidth="1"/>
    <col min="9486" max="9486" width="4.140625" style="1209" customWidth="1"/>
    <col min="9487" max="9487" width="4.85546875" style="1209" customWidth="1"/>
    <col min="9488" max="9491" width="3.28515625" style="1209" customWidth="1"/>
    <col min="9492" max="9492" width="8" style="1209" customWidth="1"/>
    <col min="9493" max="9494" width="10.140625" style="1209" customWidth="1"/>
    <col min="9495" max="9724" width="11.5703125" style="1209"/>
    <col min="9725" max="9729" width="3.28515625" style="1209" customWidth="1"/>
    <col min="9730" max="9741" width="3" style="1209" customWidth="1"/>
    <col min="9742" max="9742" width="4.140625" style="1209" customWidth="1"/>
    <col min="9743" max="9743" width="4.85546875" style="1209" customWidth="1"/>
    <col min="9744" max="9747" width="3.28515625" style="1209" customWidth="1"/>
    <col min="9748" max="9748" width="8" style="1209" customWidth="1"/>
    <col min="9749" max="9750" width="10.140625" style="1209" customWidth="1"/>
    <col min="9751" max="9980" width="11.5703125" style="1209"/>
    <col min="9981" max="9985" width="3.28515625" style="1209" customWidth="1"/>
    <col min="9986" max="9997" width="3" style="1209" customWidth="1"/>
    <col min="9998" max="9998" width="4.140625" style="1209" customWidth="1"/>
    <col min="9999" max="9999" width="4.85546875" style="1209" customWidth="1"/>
    <col min="10000" max="10003" width="3.28515625" style="1209" customWidth="1"/>
    <col min="10004" max="10004" width="8" style="1209" customWidth="1"/>
    <col min="10005" max="10006" width="10.140625" style="1209" customWidth="1"/>
    <col min="10007" max="10236" width="11.5703125" style="1209"/>
    <col min="10237" max="10241" width="3.28515625" style="1209" customWidth="1"/>
    <col min="10242" max="10253" width="3" style="1209" customWidth="1"/>
    <col min="10254" max="10254" width="4.140625" style="1209" customWidth="1"/>
    <col min="10255" max="10255" width="4.85546875" style="1209" customWidth="1"/>
    <col min="10256" max="10259" width="3.28515625" style="1209" customWidth="1"/>
    <col min="10260" max="10260" width="8" style="1209" customWidth="1"/>
    <col min="10261" max="10262" width="10.140625" style="1209" customWidth="1"/>
    <col min="10263" max="10492" width="11.5703125" style="1209"/>
    <col min="10493" max="10497" width="3.28515625" style="1209" customWidth="1"/>
    <col min="10498" max="10509" width="3" style="1209" customWidth="1"/>
    <col min="10510" max="10510" width="4.140625" style="1209" customWidth="1"/>
    <col min="10511" max="10511" width="4.85546875" style="1209" customWidth="1"/>
    <col min="10512" max="10515" width="3.28515625" style="1209" customWidth="1"/>
    <col min="10516" max="10516" width="8" style="1209" customWidth="1"/>
    <col min="10517" max="10518" width="10.140625" style="1209" customWidth="1"/>
    <col min="10519" max="10748" width="11.5703125" style="1209"/>
    <col min="10749" max="10753" width="3.28515625" style="1209" customWidth="1"/>
    <col min="10754" max="10765" width="3" style="1209" customWidth="1"/>
    <col min="10766" max="10766" width="4.140625" style="1209" customWidth="1"/>
    <col min="10767" max="10767" width="4.85546875" style="1209" customWidth="1"/>
    <col min="10768" max="10771" width="3.28515625" style="1209" customWidth="1"/>
    <col min="10772" max="10772" width="8" style="1209" customWidth="1"/>
    <col min="10773" max="10774" width="10.140625" style="1209" customWidth="1"/>
    <col min="10775" max="11004" width="11.5703125" style="1209"/>
    <col min="11005" max="11009" width="3.28515625" style="1209" customWidth="1"/>
    <col min="11010" max="11021" width="3" style="1209" customWidth="1"/>
    <col min="11022" max="11022" width="4.140625" style="1209" customWidth="1"/>
    <col min="11023" max="11023" width="4.85546875" style="1209" customWidth="1"/>
    <col min="11024" max="11027" width="3.28515625" style="1209" customWidth="1"/>
    <col min="11028" max="11028" width="8" style="1209" customWidth="1"/>
    <col min="11029" max="11030" width="10.140625" style="1209" customWidth="1"/>
    <col min="11031" max="11260" width="11.5703125" style="1209"/>
    <col min="11261" max="11265" width="3.28515625" style="1209" customWidth="1"/>
    <col min="11266" max="11277" width="3" style="1209" customWidth="1"/>
    <col min="11278" max="11278" width="4.140625" style="1209" customWidth="1"/>
    <col min="11279" max="11279" width="4.85546875" style="1209" customWidth="1"/>
    <col min="11280" max="11283" width="3.28515625" style="1209" customWidth="1"/>
    <col min="11284" max="11284" width="8" style="1209" customWidth="1"/>
    <col min="11285" max="11286" width="10.140625" style="1209" customWidth="1"/>
    <col min="11287" max="11516" width="11.5703125" style="1209"/>
    <col min="11517" max="11521" width="3.28515625" style="1209" customWidth="1"/>
    <col min="11522" max="11533" width="3" style="1209" customWidth="1"/>
    <col min="11534" max="11534" width="4.140625" style="1209" customWidth="1"/>
    <col min="11535" max="11535" width="4.85546875" style="1209" customWidth="1"/>
    <col min="11536" max="11539" width="3.28515625" style="1209" customWidth="1"/>
    <col min="11540" max="11540" width="8" style="1209" customWidth="1"/>
    <col min="11541" max="11542" width="10.140625" style="1209" customWidth="1"/>
    <col min="11543" max="11772" width="11.5703125" style="1209"/>
    <col min="11773" max="11777" width="3.28515625" style="1209" customWidth="1"/>
    <col min="11778" max="11789" width="3" style="1209" customWidth="1"/>
    <col min="11790" max="11790" width="4.140625" style="1209" customWidth="1"/>
    <col min="11791" max="11791" width="4.85546875" style="1209" customWidth="1"/>
    <col min="11792" max="11795" width="3.28515625" style="1209" customWidth="1"/>
    <col min="11796" max="11796" width="8" style="1209" customWidth="1"/>
    <col min="11797" max="11798" width="10.140625" style="1209" customWidth="1"/>
    <col min="11799" max="12028" width="11.5703125" style="1209"/>
    <col min="12029" max="12033" width="3.28515625" style="1209" customWidth="1"/>
    <col min="12034" max="12045" width="3" style="1209" customWidth="1"/>
    <col min="12046" max="12046" width="4.140625" style="1209" customWidth="1"/>
    <col min="12047" max="12047" width="4.85546875" style="1209" customWidth="1"/>
    <col min="12048" max="12051" width="3.28515625" style="1209" customWidth="1"/>
    <col min="12052" max="12052" width="8" style="1209" customWidth="1"/>
    <col min="12053" max="12054" width="10.140625" style="1209" customWidth="1"/>
    <col min="12055" max="12284" width="11.5703125" style="1209"/>
    <col min="12285" max="12289" width="3.28515625" style="1209" customWidth="1"/>
    <col min="12290" max="12301" width="3" style="1209" customWidth="1"/>
    <col min="12302" max="12302" width="4.140625" style="1209" customWidth="1"/>
    <col min="12303" max="12303" width="4.85546875" style="1209" customWidth="1"/>
    <col min="12304" max="12307" width="3.28515625" style="1209" customWidth="1"/>
    <col min="12308" max="12308" width="8" style="1209" customWidth="1"/>
    <col min="12309" max="12310" width="10.140625" style="1209" customWidth="1"/>
    <col min="12311" max="12540" width="11.5703125" style="1209"/>
    <col min="12541" max="12545" width="3.28515625" style="1209" customWidth="1"/>
    <col min="12546" max="12557" width="3" style="1209" customWidth="1"/>
    <col min="12558" max="12558" width="4.140625" style="1209" customWidth="1"/>
    <col min="12559" max="12559" width="4.85546875" style="1209" customWidth="1"/>
    <col min="12560" max="12563" width="3.28515625" style="1209" customWidth="1"/>
    <col min="12564" max="12564" width="8" style="1209" customWidth="1"/>
    <col min="12565" max="12566" width="10.140625" style="1209" customWidth="1"/>
    <col min="12567" max="12796" width="11.5703125" style="1209"/>
    <col min="12797" max="12801" width="3.28515625" style="1209" customWidth="1"/>
    <col min="12802" max="12813" width="3" style="1209" customWidth="1"/>
    <col min="12814" max="12814" width="4.140625" style="1209" customWidth="1"/>
    <col min="12815" max="12815" width="4.85546875" style="1209" customWidth="1"/>
    <col min="12816" max="12819" width="3.28515625" style="1209" customWidth="1"/>
    <col min="12820" max="12820" width="8" style="1209" customWidth="1"/>
    <col min="12821" max="12822" width="10.140625" style="1209" customWidth="1"/>
    <col min="12823" max="13052" width="11.5703125" style="1209"/>
    <col min="13053" max="13057" width="3.28515625" style="1209" customWidth="1"/>
    <col min="13058" max="13069" width="3" style="1209" customWidth="1"/>
    <col min="13070" max="13070" width="4.140625" style="1209" customWidth="1"/>
    <col min="13071" max="13071" width="4.85546875" style="1209" customWidth="1"/>
    <col min="13072" max="13075" width="3.28515625" style="1209" customWidth="1"/>
    <col min="13076" max="13076" width="8" style="1209" customWidth="1"/>
    <col min="13077" max="13078" width="10.140625" style="1209" customWidth="1"/>
    <col min="13079" max="13308" width="11.5703125" style="1209"/>
    <col min="13309" max="13313" width="3.28515625" style="1209" customWidth="1"/>
    <col min="13314" max="13325" width="3" style="1209" customWidth="1"/>
    <col min="13326" max="13326" width="4.140625" style="1209" customWidth="1"/>
    <col min="13327" max="13327" width="4.85546875" style="1209" customWidth="1"/>
    <col min="13328" max="13331" width="3.28515625" style="1209" customWidth="1"/>
    <col min="13332" max="13332" width="8" style="1209" customWidth="1"/>
    <col min="13333" max="13334" width="10.140625" style="1209" customWidth="1"/>
    <col min="13335" max="13564" width="11.5703125" style="1209"/>
    <col min="13565" max="13569" width="3.28515625" style="1209" customWidth="1"/>
    <col min="13570" max="13581" width="3" style="1209" customWidth="1"/>
    <col min="13582" max="13582" width="4.140625" style="1209" customWidth="1"/>
    <col min="13583" max="13583" width="4.85546875" style="1209" customWidth="1"/>
    <col min="13584" max="13587" width="3.28515625" style="1209" customWidth="1"/>
    <col min="13588" max="13588" width="8" style="1209" customWidth="1"/>
    <col min="13589" max="13590" width="10.140625" style="1209" customWidth="1"/>
    <col min="13591" max="13820" width="11.5703125" style="1209"/>
    <col min="13821" max="13825" width="3.28515625" style="1209" customWidth="1"/>
    <col min="13826" max="13837" width="3" style="1209" customWidth="1"/>
    <col min="13838" max="13838" width="4.140625" style="1209" customWidth="1"/>
    <col min="13839" max="13839" width="4.85546875" style="1209" customWidth="1"/>
    <col min="13840" max="13843" width="3.28515625" style="1209" customWidth="1"/>
    <col min="13844" max="13844" width="8" style="1209" customWidth="1"/>
    <col min="13845" max="13846" width="10.140625" style="1209" customWidth="1"/>
    <col min="13847" max="14076" width="11.5703125" style="1209"/>
    <col min="14077" max="14081" width="3.28515625" style="1209" customWidth="1"/>
    <col min="14082" max="14093" width="3" style="1209" customWidth="1"/>
    <col min="14094" max="14094" width="4.140625" style="1209" customWidth="1"/>
    <col min="14095" max="14095" width="4.85546875" style="1209" customWidth="1"/>
    <col min="14096" max="14099" width="3.28515625" style="1209" customWidth="1"/>
    <col min="14100" max="14100" width="8" style="1209" customWidth="1"/>
    <col min="14101" max="14102" width="10.140625" style="1209" customWidth="1"/>
    <col min="14103" max="14332" width="11.5703125" style="1209"/>
    <col min="14333" max="14337" width="3.28515625" style="1209" customWidth="1"/>
    <col min="14338" max="14349" width="3" style="1209" customWidth="1"/>
    <col min="14350" max="14350" width="4.140625" style="1209" customWidth="1"/>
    <col min="14351" max="14351" width="4.85546875" style="1209" customWidth="1"/>
    <col min="14352" max="14355" width="3.28515625" style="1209" customWidth="1"/>
    <col min="14356" max="14356" width="8" style="1209" customWidth="1"/>
    <col min="14357" max="14358" width="10.140625" style="1209" customWidth="1"/>
    <col min="14359" max="14588" width="11.5703125" style="1209"/>
    <col min="14589" max="14593" width="3.28515625" style="1209" customWidth="1"/>
    <col min="14594" max="14605" width="3" style="1209" customWidth="1"/>
    <col min="14606" max="14606" width="4.140625" style="1209" customWidth="1"/>
    <col min="14607" max="14607" width="4.85546875" style="1209" customWidth="1"/>
    <col min="14608" max="14611" width="3.28515625" style="1209" customWidth="1"/>
    <col min="14612" max="14612" width="8" style="1209" customWidth="1"/>
    <col min="14613" max="14614" width="10.140625" style="1209" customWidth="1"/>
    <col min="14615" max="14844" width="11.5703125" style="1209"/>
    <col min="14845" max="14849" width="3.28515625" style="1209" customWidth="1"/>
    <col min="14850" max="14861" width="3" style="1209" customWidth="1"/>
    <col min="14862" max="14862" width="4.140625" style="1209" customWidth="1"/>
    <col min="14863" max="14863" width="4.85546875" style="1209" customWidth="1"/>
    <col min="14864" max="14867" width="3.28515625" style="1209" customWidth="1"/>
    <col min="14868" max="14868" width="8" style="1209" customWidth="1"/>
    <col min="14869" max="14870" width="10.140625" style="1209" customWidth="1"/>
    <col min="14871" max="15100" width="11.5703125" style="1209"/>
    <col min="15101" max="15105" width="3.28515625" style="1209" customWidth="1"/>
    <col min="15106" max="15117" width="3" style="1209" customWidth="1"/>
    <col min="15118" max="15118" width="4.140625" style="1209" customWidth="1"/>
    <col min="15119" max="15119" width="4.85546875" style="1209" customWidth="1"/>
    <col min="15120" max="15123" width="3.28515625" style="1209" customWidth="1"/>
    <col min="15124" max="15124" width="8" style="1209" customWidth="1"/>
    <col min="15125" max="15126" width="10.140625" style="1209" customWidth="1"/>
    <col min="15127" max="15356" width="11.5703125" style="1209"/>
    <col min="15357" max="15361" width="3.28515625" style="1209" customWidth="1"/>
    <col min="15362" max="15373" width="3" style="1209" customWidth="1"/>
    <col min="15374" max="15374" width="4.140625" style="1209" customWidth="1"/>
    <col min="15375" max="15375" width="4.85546875" style="1209" customWidth="1"/>
    <col min="15376" max="15379" width="3.28515625" style="1209" customWidth="1"/>
    <col min="15380" max="15380" width="8" style="1209" customWidth="1"/>
    <col min="15381" max="15382" width="10.140625" style="1209" customWidth="1"/>
    <col min="15383" max="15612" width="11.5703125" style="1209"/>
    <col min="15613" max="15617" width="3.28515625" style="1209" customWidth="1"/>
    <col min="15618" max="15629" width="3" style="1209" customWidth="1"/>
    <col min="15630" max="15630" width="4.140625" style="1209" customWidth="1"/>
    <col min="15631" max="15631" width="4.85546875" style="1209" customWidth="1"/>
    <col min="15632" max="15635" width="3.28515625" style="1209" customWidth="1"/>
    <col min="15636" max="15636" width="8" style="1209" customWidth="1"/>
    <col min="15637" max="15638" width="10.140625" style="1209" customWidth="1"/>
    <col min="15639" max="15868" width="11.5703125" style="1209"/>
    <col min="15869" max="15873" width="3.28515625" style="1209" customWidth="1"/>
    <col min="15874" max="15885" width="3" style="1209" customWidth="1"/>
    <col min="15886" max="15886" width="4.140625" style="1209" customWidth="1"/>
    <col min="15887" max="15887" width="4.85546875" style="1209" customWidth="1"/>
    <col min="15888" max="15891" width="3.28515625" style="1209" customWidth="1"/>
    <col min="15892" max="15892" width="8" style="1209" customWidth="1"/>
    <col min="15893" max="15894" width="10.140625" style="1209" customWidth="1"/>
    <col min="15895" max="16124" width="11.5703125" style="1209"/>
    <col min="16125" max="16129" width="3.28515625" style="1209" customWidth="1"/>
    <col min="16130" max="16141" width="3" style="1209" customWidth="1"/>
    <col min="16142" max="16142" width="4.140625" style="1209" customWidth="1"/>
    <col min="16143" max="16143" width="4.85546875" style="1209" customWidth="1"/>
    <col min="16144" max="16147" width="3.28515625" style="1209" customWidth="1"/>
    <col min="16148" max="16148" width="8" style="1209" customWidth="1"/>
    <col min="16149" max="16150" width="10.140625" style="1209" customWidth="1"/>
    <col min="16151" max="16384" width="11.5703125" style="1209"/>
  </cols>
  <sheetData>
    <row r="1" spans="1:28" ht="15" customHeight="1">
      <c r="A1" s="1574"/>
      <c r="B1" s="1575"/>
      <c r="C1" s="1575"/>
      <c r="D1" s="1575"/>
      <c r="E1" s="1575"/>
      <c r="F1" s="1575"/>
      <c r="G1" s="1576"/>
      <c r="H1" s="1583" t="s">
        <v>672</v>
      </c>
      <c r="I1" s="1584"/>
      <c r="J1" s="1584"/>
      <c r="K1" s="1584"/>
      <c r="L1" s="1584"/>
      <c r="M1" s="1584"/>
      <c r="N1" s="1584"/>
      <c r="O1" s="1584"/>
      <c r="P1" s="1584"/>
      <c r="Q1" s="1584"/>
      <c r="R1" s="1584"/>
      <c r="S1" s="1584"/>
      <c r="T1" s="1584"/>
      <c r="U1" s="1584"/>
      <c r="V1" s="1584"/>
      <c r="W1" s="1584"/>
      <c r="X1" s="1585"/>
      <c r="Y1" s="1208"/>
      <c r="AA1" s="1209" t="s">
        <v>521</v>
      </c>
    </row>
    <row r="2" spans="1:28" ht="15" customHeight="1">
      <c r="A2" s="1577"/>
      <c r="B2" s="1578"/>
      <c r="C2" s="1578"/>
      <c r="D2" s="1578"/>
      <c r="E2" s="1578"/>
      <c r="F2" s="1578"/>
      <c r="G2" s="1579"/>
      <c r="H2" s="1586" t="s">
        <v>722</v>
      </c>
      <c r="I2" s="1587"/>
      <c r="J2" s="1587"/>
      <c r="K2" s="1587"/>
      <c r="L2" s="1587"/>
      <c r="M2" s="1587"/>
      <c r="N2" s="1587"/>
      <c r="O2" s="1587"/>
      <c r="P2" s="1587"/>
      <c r="Q2" s="1587"/>
      <c r="R2" s="1587"/>
      <c r="S2" s="1587"/>
      <c r="T2" s="1587"/>
      <c r="U2" s="1587"/>
      <c r="V2" s="1587"/>
      <c r="W2" s="1587"/>
      <c r="X2" s="1588"/>
      <c r="Y2" s="1208"/>
      <c r="AA2" s="1209" t="s">
        <v>795</v>
      </c>
      <c r="AB2" s="1209" t="s">
        <v>723</v>
      </c>
    </row>
    <row r="3" spans="1:28" ht="15" customHeight="1">
      <c r="A3" s="1577"/>
      <c r="B3" s="1578"/>
      <c r="C3" s="1578"/>
      <c r="D3" s="1578"/>
      <c r="E3" s="1578"/>
      <c r="F3" s="1578"/>
      <c r="G3" s="1579"/>
      <c r="H3" s="1586" t="s">
        <v>724</v>
      </c>
      <c r="I3" s="1587"/>
      <c r="J3" s="1587"/>
      <c r="K3" s="1587"/>
      <c r="L3" s="1587"/>
      <c r="M3" s="1587"/>
      <c r="N3" s="1587"/>
      <c r="O3" s="1587"/>
      <c r="P3" s="1587"/>
      <c r="Q3" s="1587"/>
      <c r="R3" s="1587"/>
      <c r="S3" s="1587"/>
      <c r="T3" s="1587"/>
      <c r="U3" s="1587"/>
      <c r="V3" s="1587"/>
      <c r="W3" s="1587"/>
      <c r="X3" s="1588"/>
      <c r="Y3" s="1208"/>
      <c r="AA3" s="1209"/>
      <c r="AB3" s="1209" t="s">
        <v>725</v>
      </c>
    </row>
    <row r="4" spans="1:28" ht="12.95" customHeight="1">
      <c r="A4" s="1577"/>
      <c r="B4" s="1578"/>
      <c r="C4" s="1578"/>
      <c r="D4" s="1578"/>
      <c r="E4" s="1578"/>
      <c r="F4" s="1578"/>
      <c r="G4" s="1579"/>
      <c r="H4" s="1589" t="s">
        <v>799</v>
      </c>
      <c r="I4" s="1590"/>
      <c r="J4" s="1590"/>
      <c r="K4" s="1590"/>
      <c r="L4" s="1590"/>
      <c r="M4" s="1590"/>
      <c r="N4" s="1590"/>
      <c r="O4" s="1590"/>
      <c r="P4" s="1590"/>
      <c r="Q4" s="1590"/>
      <c r="R4" s="1590"/>
      <c r="S4" s="1590"/>
      <c r="T4" s="1591"/>
      <c r="U4" s="1589" t="s">
        <v>800</v>
      </c>
      <c r="V4" s="1590"/>
      <c r="W4" s="1590"/>
      <c r="X4" s="1591"/>
      <c r="Y4" s="1208"/>
      <c r="Z4" s="1210"/>
      <c r="AA4" s="1209"/>
    </row>
    <row r="5" spans="1:28" ht="12.95" customHeight="1">
      <c r="A5" s="1580"/>
      <c r="B5" s="1581"/>
      <c r="C5" s="1581"/>
      <c r="D5" s="1581"/>
      <c r="E5" s="1581"/>
      <c r="F5" s="1581"/>
      <c r="G5" s="1582"/>
      <c r="H5" s="1589" t="s">
        <v>801</v>
      </c>
      <c r="I5" s="1590"/>
      <c r="J5" s="1590"/>
      <c r="K5" s="1590"/>
      <c r="L5" s="1590"/>
      <c r="M5" s="1590"/>
      <c r="N5" s="1590"/>
      <c r="O5" s="1590"/>
      <c r="P5" s="1590"/>
      <c r="Q5" s="1590"/>
      <c r="R5" s="1590"/>
      <c r="S5" s="1590"/>
      <c r="T5" s="1590"/>
      <c r="U5" s="1590"/>
      <c r="V5" s="1590"/>
      <c r="W5" s="1590"/>
      <c r="X5" s="1591"/>
      <c r="Y5" s="1208"/>
      <c r="Z5" s="1210"/>
      <c r="AA5" s="1209"/>
    </row>
    <row r="6" spans="1:28" ht="3" customHeight="1">
      <c r="A6" s="1386"/>
      <c r="B6" s="1211"/>
      <c r="C6" s="1211"/>
      <c r="D6" s="1211"/>
      <c r="E6" s="1211"/>
      <c r="F6" s="1211"/>
      <c r="G6" s="1211"/>
      <c r="H6" s="1211"/>
      <c r="I6" s="1211"/>
      <c r="J6" s="1211"/>
      <c r="K6" s="1211"/>
      <c r="L6" s="1211"/>
      <c r="M6" s="1211"/>
      <c r="N6" s="1211"/>
      <c r="O6" s="1211"/>
      <c r="P6" s="1211"/>
      <c r="Q6" s="1211"/>
      <c r="R6" s="1211"/>
      <c r="S6" s="1211"/>
      <c r="T6" s="1211"/>
      <c r="U6" s="1211"/>
      <c r="V6" s="1211"/>
      <c r="W6" s="1211"/>
      <c r="X6" s="1387"/>
      <c r="Y6" s="1208"/>
      <c r="Z6" s="1210"/>
      <c r="AA6" s="1209"/>
    </row>
    <row r="7" spans="1:28" s="1214" customFormat="1" ht="14.1" customHeight="1">
      <c r="A7" s="1564" t="s">
        <v>5</v>
      </c>
      <c r="B7" s="1565"/>
      <c r="C7" s="1565"/>
      <c r="D7" s="1566" t="str">
        <f>IF('Gradacion '!E6="","",+'Gradacion '!E6)</f>
        <v/>
      </c>
      <c r="E7" s="1566"/>
      <c r="F7" s="1566"/>
      <c r="G7" s="1566"/>
      <c r="H7" s="1566"/>
      <c r="I7" s="1566"/>
      <c r="J7" s="1566"/>
      <c r="K7" s="1566"/>
      <c r="L7" s="1566"/>
      <c r="M7" s="1566"/>
      <c r="N7" s="1566"/>
      <c r="O7" s="1566"/>
      <c r="P7" s="1566"/>
      <c r="Q7" s="1566"/>
      <c r="R7" s="1566"/>
      <c r="S7" s="1566"/>
      <c r="T7" s="1566"/>
      <c r="U7" s="1567" t="s">
        <v>324</v>
      </c>
      <c r="V7" s="1567"/>
      <c r="W7" s="1567"/>
      <c r="X7" s="1388"/>
      <c r="Y7" s="1212"/>
      <c r="Z7" s="1213"/>
      <c r="AA7" s="1209"/>
    </row>
    <row r="8" spans="1:28" s="1214" customFormat="1" ht="14.1" customHeight="1">
      <c r="A8" s="1568" t="s">
        <v>39</v>
      </c>
      <c r="B8" s="1569"/>
      <c r="C8" s="1569"/>
      <c r="D8" s="1570"/>
      <c r="E8" s="1570"/>
      <c r="F8" s="1570"/>
      <c r="G8" s="1570"/>
      <c r="H8" s="1570"/>
      <c r="I8" s="1570"/>
      <c r="J8" s="1571" t="s">
        <v>18</v>
      </c>
      <c r="K8" s="1571"/>
      <c r="L8" s="1571"/>
      <c r="M8" s="1571"/>
      <c r="N8" s="1572" t="str">
        <f>IF('Gradacion '!O7="","",'Gradacion '!O7)</f>
        <v/>
      </c>
      <c r="O8" s="1572"/>
      <c r="P8" s="1572"/>
      <c r="Q8" s="1572"/>
      <c r="R8" s="1572"/>
      <c r="S8" s="1572"/>
      <c r="T8" s="1572"/>
      <c r="U8" s="1573" t="s">
        <v>40</v>
      </c>
      <c r="V8" s="1573"/>
      <c r="W8" s="1573"/>
      <c r="X8" s="1215" t="str">
        <f>IF('Gradacion '!AB7="","",'Gradacion '!AB7)</f>
        <v/>
      </c>
      <c r="Y8" s="1212"/>
      <c r="Z8" s="1213"/>
      <c r="AA8" s="1209"/>
    </row>
    <row r="9" spans="1:28" s="1214" customFormat="1" ht="14.1" customHeight="1">
      <c r="A9" s="1568" t="s">
        <v>465</v>
      </c>
      <c r="B9" s="1569"/>
      <c r="C9" s="1569"/>
      <c r="D9" s="1572" t="str">
        <f>IF('Gradacion '!E8="","",+'Gradacion '!E8)</f>
        <v/>
      </c>
      <c r="E9" s="1572"/>
      <c r="F9" s="1572"/>
      <c r="G9" s="1572"/>
      <c r="H9" s="1572"/>
      <c r="I9" s="1572"/>
      <c r="J9" s="1571" t="s">
        <v>19</v>
      </c>
      <c r="K9" s="1571"/>
      <c r="L9" s="1571"/>
      <c r="M9" s="1571"/>
      <c r="N9" s="1572" t="str">
        <f>IF('Gradacion '!O8="","",'Gradacion '!O8)</f>
        <v/>
      </c>
      <c r="O9" s="1572"/>
      <c r="P9" s="1572"/>
      <c r="Q9" s="1572"/>
      <c r="R9" s="1572"/>
      <c r="S9" s="1572"/>
      <c r="T9" s="1572"/>
      <c r="U9" s="1573" t="s">
        <v>407</v>
      </c>
      <c r="V9" s="1573"/>
      <c r="W9" s="1573"/>
      <c r="X9" s="1216"/>
      <c r="Z9" s="1213"/>
      <c r="AA9" s="1217"/>
    </row>
    <row r="10" spans="1:28" s="1219" customFormat="1" ht="14.1" customHeight="1">
      <c r="A10" s="1560" t="s">
        <v>6</v>
      </c>
      <c r="B10" s="1561"/>
      <c r="C10" s="1561"/>
      <c r="D10" s="1562" t="str">
        <f>IF('Gradacion '!E9="","",+'Gradacion '!E9)</f>
        <v/>
      </c>
      <c r="E10" s="1562"/>
      <c r="F10" s="1562"/>
      <c r="G10" s="1562"/>
      <c r="H10" s="1562"/>
      <c r="I10" s="1562"/>
      <c r="J10" s="1562"/>
      <c r="K10" s="1562"/>
      <c r="L10" s="1562"/>
      <c r="M10" s="1562"/>
      <c r="N10" s="1562"/>
      <c r="O10" s="1562"/>
      <c r="P10" s="1562"/>
      <c r="Q10" s="1562"/>
      <c r="R10" s="1562"/>
      <c r="S10" s="1562"/>
      <c r="T10" s="1562"/>
      <c r="U10" s="1563" t="s">
        <v>633</v>
      </c>
      <c r="V10" s="1563"/>
      <c r="W10" s="1563"/>
      <c r="X10" s="1218" t="str">
        <f>IF('Gradacion '!AB9="","",'Gradacion '!AB9)</f>
        <v/>
      </c>
      <c r="Z10" s="1220"/>
      <c r="AA10" s="1220"/>
    </row>
    <row r="11" spans="1:28" s="1227" customFormat="1" ht="3" customHeight="1">
      <c r="A11" s="1389"/>
      <c r="B11" s="1221"/>
      <c r="C11" s="1221"/>
      <c r="D11" s="1221"/>
      <c r="E11" s="1221"/>
      <c r="F11" s="1222"/>
      <c r="G11" s="1222"/>
      <c r="H11" s="1222"/>
      <c r="I11" s="1223"/>
      <c r="J11" s="1223"/>
      <c r="K11" s="1223"/>
      <c r="L11" s="1223"/>
      <c r="M11" s="1223"/>
      <c r="N11" s="1223"/>
      <c r="O11" s="1223"/>
      <c r="P11" s="1223"/>
      <c r="Q11" s="1223"/>
      <c r="R11" s="1224"/>
      <c r="S11" s="1224"/>
      <c r="T11" s="1225"/>
      <c r="U11" s="1225"/>
      <c r="V11" s="1225"/>
      <c r="W11" s="1225"/>
      <c r="X11" s="1390"/>
      <c r="Y11" s="1226"/>
      <c r="AA11" s="1228"/>
    </row>
    <row r="12" spans="1:28" s="1230" customFormat="1" ht="17.100000000000001" customHeight="1">
      <c r="A12" s="1604" t="s">
        <v>726</v>
      </c>
      <c r="B12" s="1605"/>
      <c r="C12" s="1605"/>
      <c r="D12" s="1605"/>
      <c r="E12" s="1605"/>
      <c r="F12" s="1605"/>
      <c r="G12" s="1605"/>
      <c r="H12" s="1605"/>
      <c r="I12" s="1605"/>
      <c r="J12" s="1605"/>
      <c r="K12" s="1605"/>
      <c r="L12" s="1605"/>
      <c r="M12" s="1605"/>
      <c r="N12" s="1605"/>
      <c r="O12" s="1605"/>
      <c r="P12" s="1605"/>
      <c r="Q12" s="1605"/>
      <c r="R12" s="1605"/>
      <c r="S12" s="1605"/>
      <c r="T12" s="1605"/>
      <c r="U12" s="1605"/>
      <c r="V12" s="1605"/>
      <c r="W12" s="1605"/>
      <c r="X12" s="1391" t="s">
        <v>725</v>
      </c>
      <c r="Y12" s="1229"/>
    </row>
    <row r="13" spans="1:28" s="1232" customFormat="1" ht="30" customHeight="1">
      <c r="A13" s="1604" t="s">
        <v>27</v>
      </c>
      <c r="B13" s="1605"/>
      <c r="C13" s="1605"/>
      <c r="D13" s="1605"/>
      <c r="E13" s="1605"/>
      <c r="F13" s="1605"/>
      <c r="G13" s="1605"/>
      <c r="H13" s="1605"/>
      <c r="I13" s="1605"/>
      <c r="J13" s="1605"/>
      <c r="K13" s="1605"/>
      <c r="L13" s="1605"/>
      <c r="M13" s="1605"/>
      <c r="N13" s="1605"/>
      <c r="O13" s="1605"/>
      <c r="P13" s="1605"/>
      <c r="Q13" s="1605"/>
      <c r="R13" s="1606" t="s">
        <v>318</v>
      </c>
      <c r="S13" s="1607"/>
      <c r="T13" s="1604" t="s">
        <v>319</v>
      </c>
      <c r="U13" s="1605"/>
      <c r="V13" s="1605"/>
      <c r="W13" s="1608"/>
      <c r="X13" s="1381" t="s">
        <v>727</v>
      </c>
      <c r="Y13" s="1231"/>
    </row>
    <row r="14" spans="1:28" s="1232" customFormat="1" ht="17.100000000000001" customHeight="1">
      <c r="A14" s="1609" t="s">
        <v>728</v>
      </c>
      <c r="B14" s="1610"/>
      <c r="C14" s="1610"/>
      <c r="D14" s="1610"/>
      <c r="E14" s="1610"/>
      <c r="F14" s="1610"/>
      <c r="G14" s="1610"/>
      <c r="H14" s="1610"/>
      <c r="I14" s="1610"/>
      <c r="J14" s="1610"/>
      <c r="K14" s="1610"/>
      <c r="L14" s="1610"/>
      <c r="M14" s="1610"/>
      <c r="N14" s="1610"/>
      <c r="O14" s="1611"/>
      <c r="P14" s="1611"/>
      <c r="Q14" s="1612"/>
      <c r="R14" s="1613">
        <v>122</v>
      </c>
      <c r="S14" s="1614"/>
      <c r="T14" s="1615" t="str">
        <f>+HUMEDAD!H26</f>
        <v/>
      </c>
      <c r="U14" s="1616"/>
      <c r="V14" s="1616"/>
      <c r="W14" s="1617"/>
      <c r="X14" s="1302" t="str">
        <f>+IF(D8="","",AA14)</f>
        <v/>
      </c>
      <c r="Y14" s="1234"/>
      <c r="Z14" s="1235"/>
      <c r="AA14" s="1236" t="s">
        <v>753</v>
      </c>
    </row>
    <row r="15" spans="1:28" s="1232" customFormat="1" ht="17.100000000000001" customHeight="1">
      <c r="A15" s="1592" t="s">
        <v>334</v>
      </c>
      <c r="B15" s="1593"/>
      <c r="C15" s="1593"/>
      <c r="D15" s="1593"/>
      <c r="E15" s="1593"/>
      <c r="F15" s="1593"/>
      <c r="G15" s="1593"/>
      <c r="H15" s="1593"/>
      <c r="I15" s="1593"/>
      <c r="J15" s="1593"/>
      <c r="K15" s="1593"/>
      <c r="L15" s="1593"/>
      <c r="M15" s="1593"/>
      <c r="N15" s="1593"/>
      <c r="O15" s="1593"/>
      <c r="P15" s="1593"/>
      <c r="Q15" s="1593"/>
      <c r="R15" s="1233"/>
      <c r="S15" s="1233"/>
      <c r="T15" s="1233"/>
      <c r="U15" s="1593"/>
      <c r="V15" s="1593"/>
      <c r="W15" s="1593"/>
      <c r="X15" s="1594"/>
      <c r="Y15" s="1234"/>
      <c r="Z15" s="1235"/>
      <c r="AA15" s="1236"/>
    </row>
    <row r="16" spans="1:28" s="1230" customFormat="1" ht="41.25" customHeight="1">
      <c r="A16" s="1595" t="s">
        <v>320</v>
      </c>
      <c r="B16" s="1596"/>
      <c r="C16" s="1596"/>
      <c r="D16" s="1596"/>
      <c r="E16" s="1596"/>
      <c r="F16" s="1596"/>
      <c r="G16" s="1596"/>
      <c r="H16" s="1596"/>
      <c r="I16" s="1596"/>
      <c r="J16" s="1596"/>
      <c r="K16" s="1596"/>
      <c r="L16" s="1596"/>
      <c r="M16" s="1596"/>
      <c r="N16" s="1596"/>
      <c r="O16" s="1596"/>
      <c r="P16" s="1596"/>
      <c r="Q16" s="1597"/>
      <c r="R16" s="1620">
        <v>213</v>
      </c>
      <c r="S16" s="1621"/>
      <c r="T16" s="1598" t="s">
        <v>28</v>
      </c>
      <c r="U16" s="1599"/>
      <c r="V16" s="1599"/>
      <c r="W16" s="1600"/>
      <c r="X16" s="1399" t="str">
        <f>IF('Gradacion '!X10="","",'Gradacion '!X10)</f>
        <v/>
      </c>
      <c r="Y16" s="1237"/>
      <c r="Z16" s="1238"/>
      <c r="AA16" s="1239" t="s">
        <v>730</v>
      </c>
    </row>
    <row r="17" spans="1:27" s="1214" customFormat="1" ht="17.100000000000001" customHeight="1">
      <c r="A17" s="1618" t="s">
        <v>792</v>
      </c>
      <c r="B17" s="1619"/>
      <c r="C17" s="1619"/>
      <c r="D17" s="1619"/>
      <c r="E17" s="1619"/>
      <c r="F17" s="1619"/>
      <c r="G17" s="1619"/>
      <c r="H17" s="1619"/>
      <c r="I17" s="1619"/>
      <c r="J17" s="1619"/>
      <c r="K17" s="1619"/>
      <c r="L17" s="1619"/>
      <c r="M17" s="1619"/>
      <c r="N17" s="1619"/>
      <c r="O17" s="1619"/>
      <c r="P17" s="1619"/>
      <c r="Q17" s="1619"/>
      <c r="R17" s="1622"/>
      <c r="S17" s="1623"/>
      <c r="T17" s="1601" t="str">
        <f>IF('Gradacion '!F43="","",'Gradacion '!F43)</f>
        <v/>
      </c>
      <c r="U17" s="1602"/>
      <c r="V17" s="1602"/>
      <c r="W17" s="1603"/>
      <c r="X17" s="1392"/>
      <c r="Y17" s="1240"/>
      <c r="Z17" s="1241"/>
    </row>
    <row r="18" spans="1:27" s="1214" customFormat="1" ht="17.100000000000001" hidden="1" customHeight="1">
      <c r="A18" s="1592" t="s">
        <v>31</v>
      </c>
      <c r="B18" s="1593"/>
      <c r="C18" s="1593"/>
      <c r="D18" s="1593"/>
      <c r="E18" s="1593"/>
      <c r="F18" s="1593"/>
      <c r="G18" s="1593"/>
      <c r="H18" s="1593"/>
      <c r="I18" s="1593"/>
      <c r="J18" s="1593"/>
      <c r="K18" s="1593"/>
      <c r="L18" s="1593"/>
      <c r="M18" s="1593"/>
      <c r="N18" s="1593"/>
      <c r="O18" s="1593"/>
      <c r="P18" s="1593"/>
      <c r="Q18" s="1593"/>
      <c r="R18" s="1233"/>
      <c r="S18" s="1233"/>
      <c r="T18" s="1233"/>
      <c r="U18" s="1233"/>
      <c r="V18" s="1233"/>
      <c r="W18" s="1233"/>
      <c r="X18" s="1380"/>
      <c r="Y18" s="1240"/>
      <c r="Z18" s="1241"/>
      <c r="AA18" s="1242"/>
    </row>
    <row r="19" spans="1:27" s="1230" customFormat="1" ht="15.95" hidden="1" customHeight="1">
      <c r="A19" s="1609" t="s">
        <v>325</v>
      </c>
      <c r="B19" s="1610"/>
      <c r="C19" s="1610"/>
      <c r="D19" s="1610"/>
      <c r="E19" s="1610"/>
      <c r="F19" s="1610"/>
      <c r="G19" s="1610"/>
      <c r="H19" s="1610"/>
      <c r="I19" s="1610"/>
      <c r="J19" s="1610"/>
      <c r="K19" s="1610"/>
      <c r="L19" s="1610"/>
      <c r="M19" s="1610"/>
      <c r="N19" s="1610"/>
      <c r="O19" s="1611" t="s">
        <v>326</v>
      </c>
      <c r="P19" s="1611"/>
      <c r="Q19" s="1612"/>
      <c r="R19" s="1647">
        <v>218</v>
      </c>
      <c r="S19" s="1648"/>
      <c r="T19" s="1598">
        <f>IF([32]Desgaste!O18="","",[32]Desgaste!O18)</f>
        <v>0</v>
      </c>
      <c r="U19" s="1599"/>
      <c r="V19" s="1599"/>
      <c r="W19" s="1600"/>
      <c r="X19" s="1393" t="str">
        <f>IF(G8="","",HLOOKUP($G$8,$AA$16:$AA$42,Y19,0))</f>
        <v/>
      </c>
      <c r="Y19" s="1237">
        <v>3</v>
      </c>
      <c r="Z19" s="1238"/>
      <c r="AA19" s="1244">
        <v>35</v>
      </c>
    </row>
    <row r="20" spans="1:27" s="1230" customFormat="1" ht="15.95" hidden="1" customHeight="1">
      <c r="A20" s="1649" t="s">
        <v>340</v>
      </c>
      <c r="B20" s="1650"/>
      <c r="C20" s="1650"/>
      <c r="D20" s="1650"/>
      <c r="E20" s="1650"/>
      <c r="F20" s="1650"/>
      <c r="G20" s="1650"/>
      <c r="H20" s="1650"/>
      <c r="I20" s="1650"/>
      <c r="J20" s="1650"/>
      <c r="K20" s="1650"/>
      <c r="L20" s="1650"/>
      <c r="M20" s="1650"/>
      <c r="N20" s="1650"/>
      <c r="O20" s="1651" t="s">
        <v>326</v>
      </c>
      <c r="P20" s="1651"/>
      <c r="Q20" s="1652"/>
      <c r="R20" s="1653">
        <v>238</v>
      </c>
      <c r="S20" s="1654"/>
      <c r="T20" s="1637">
        <f>IF('[32]Microdeval '!Y15="","",+'[32]Microdeval '!Y15)</f>
        <v>0</v>
      </c>
      <c r="U20" s="1638"/>
      <c r="V20" s="1638"/>
      <c r="W20" s="1639"/>
      <c r="X20" s="1394" t="str">
        <f>IF(G8="","",HLOOKUP($G$8,$AA$16:$AA$42,Y20,0))</f>
        <v/>
      </c>
      <c r="Y20" s="1240">
        <v>4</v>
      </c>
      <c r="Z20" s="1238"/>
      <c r="AA20" s="1245">
        <v>20</v>
      </c>
    </row>
    <row r="21" spans="1:27" s="1230" customFormat="1" ht="5.25" hidden="1" customHeight="1">
      <c r="A21" s="1624" t="s">
        <v>32</v>
      </c>
      <c r="B21" s="1625"/>
      <c r="C21" s="1625"/>
      <c r="D21" s="1626"/>
      <c r="E21" s="1630" t="s">
        <v>327</v>
      </c>
      <c r="F21" s="1630"/>
      <c r="G21" s="1630"/>
      <c r="H21" s="1630"/>
      <c r="I21" s="1630"/>
      <c r="J21" s="1630"/>
      <c r="K21" s="1630"/>
      <c r="L21" s="1630"/>
      <c r="M21" s="1630"/>
      <c r="N21" s="1630"/>
      <c r="O21" s="1631" t="s">
        <v>330</v>
      </c>
      <c r="P21" s="1631"/>
      <c r="Q21" s="1632"/>
      <c r="R21" s="1633">
        <v>224</v>
      </c>
      <c r="S21" s="1634"/>
      <c r="T21" s="1637">
        <f>IF('[32]10% De Finos'!H17="","",+'[32]10% De Finos'!H17)</f>
        <v>0</v>
      </c>
      <c r="U21" s="1638"/>
      <c r="V21" s="1638"/>
      <c r="W21" s="1639"/>
      <c r="X21" s="1395" t="str">
        <f>IF(G8="","",HLOOKUP($G$8,$AA$16:$AA$42,Y21,0))</f>
        <v/>
      </c>
      <c r="Y21" s="1237">
        <v>5</v>
      </c>
      <c r="Z21" s="1238"/>
      <c r="AA21" s="1245">
        <v>100</v>
      </c>
    </row>
    <row r="22" spans="1:27" s="1230" customFormat="1" ht="14.25" hidden="1" customHeight="1">
      <c r="A22" s="1627"/>
      <c r="B22" s="1628"/>
      <c r="C22" s="1628"/>
      <c r="D22" s="1629"/>
      <c r="E22" s="1640" t="s">
        <v>328</v>
      </c>
      <c r="F22" s="1641"/>
      <c r="G22" s="1641"/>
      <c r="H22" s="1641"/>
      <c r="I22" s="1641"/>
      <c r="J22" s="1641"/>
      <c r="K22" s="1641"/>
      <c r="L22" s="1641"/>
      <c r="M22" s="1641"/>
      <c r="N22" s="1641"/>
      <c r="O22" s="1642" t="s">
        <v>329</v>
      </c>
      <c r="P22" s="1642"/>
      <c r="Q22" s="1643"/>
      <c r="R22" s="1635"/>
      <c r="S22" s="1636"/>
      <c r="T22" s="1644">
        <f>IF('[32]10% De Finos'!H18="","",'[32]10% De Finos'!H18)</f>
        <v>0</v>
      </c>
      <c r="U22" s="1645"/>
      <c r="V22" s="1645"/>
      <c r="W22" s="1646"/>
      <c r="X22" s="1396" t="str">
        <f>IF(G8="","",HLOOKUP($G$8,$AA$16:$AA$42,Y22,0))</f>
        <v/>
      </c>
      <c r="Y22" s="1240">
        <v>6</v>
      </c>
      <c r="Z22" s="1238"/>
      <c r="AA22" s="1247">
        <v>75</v>
      </c>
    </row>
    <row r="23" spans="1:27" s="1214" customFormat="1" ht="17.100000000000001" customHeight="1">
      <c r="A23" s="1592" t="s">
        <v>33</v>
      </c>
      <c r="B23" s="1593"/>
      <c r="C23" s="1593"/>
      <c r="D23" s="1593"/>
      <c r="E23" s="1593"/>
      <c r="F23" s="1593"/>
      <c r="G23" s="1593"/>
      <c r="H23" s="1593"/>
      <c r="I23" s="1593"/>
      <c r="J23" s="1593"/>
      <c r="K23" s="1593"/>
      <c r="L23" s="1593"/>
      <c r="M23" s="1593"/>
      <c r="N23" s="1593"/>
      <c r="O23" s="1593"/>
      <c r="P23" s="1593"/>
      <c r="Q23" s="1593"/>
      <c r="R23" s="1233"/>
      <c r="S23" s="1233"/>
      <c r="T23" s="1233"/>
      <c r="U23" s="1233"/>
      <c r="V23" s="1233"/>
      <c r="W23" s="1233"/>
      <c r="X23" s="1258"/>
      <c r="Y23" s="1237">
        <v>1</v>
      </c>
      <c r="Z23" s="1241"/>
      <c r="AA23" s="1242"/>
    </row>
    <row r="24" spans="1:27" s="1230" customFormat="1" ht="15.95" customHeight="1">
      <c r="A24" s="1659" t="s">
        <v>341</v>
      </c>
      <c r="B24" s="1660"/>
      <c r="C24" s="1660"/>
      <c r="D24" s="1660"/>
      <c r="E24" s="1660"/>
      <c r="F24" s="1660"/>
      <c r="G24" s="1660"/>
      <c r="H24" s="1660"/>
      <c r="I24" s="1660"/>
      <c r="J24" s="1660"/>
      <c r="K24" s="1660"/>
      <c r="L24" s="1660"/>
      <c r="M24" s="1660"/>
      <c r="N24" s="1660"/>
      <c r="O24" s="1661" t="s">
        <v>342</v>
      </c>
      <c r="P24" s="1661"/>
      <c r="Q24" s="1661"/>
      <c r="R24" s="1662">
        <v>220</v>
      </c>
      <c r="S24" s="1663"/>
      <c r="T24" s="1664" t="str">
        <f>+IF(X12="SEMANAL ","N/A",IF(OR(Solidez!U27="",Solidez!U36=""),"",MAX(Solidez!U27,Solidez!U36)))</f>
        <v/>
      </c>
      <c r="U24" s="1665"/>
      <c r="V24" s="1665"/>
      <c r="W24" s="1665"/>
      <c r="X24" s="1397" t="str">
        <f>+IF(D8="","",AA24)</f>
        <v/>
      </c>
      <c r="Y24" s="1240">
        <v>2</v>
      </c>
      <c r="Z24" s="1238"/>
      <c r="AA24" s="1239">
        <v>15</v>
      </c>
    </row>
    <row r="25" spans="1:27" s="1214" customFormat="1" ht="17.100000000000001" customHeight="1">
      <c r="A25" s="1592" t="s">
        <v>34</v>
      </c>
      <c r="B25" s="1593"/>
      <c r="C25" s="1593"/>
      <c r="D25" s="1593"/>
      <c r="E25" s="1593"/>
      <c r="F25" s="1593"/>
      <c r="G25" s="1593"/>
      <c r="H25" s="1593"/>
      <c r="I25" s="1593"/>
      <c r="J25" s="1593"/>
      <c r="K25" s="1593"/>
      <c r="L25" s="1593"/>
      <c r="M25" s="1593"/>
      <c r="N25" s="1593"/>
      <c r="O25" s="1593"/>
      <c r="P25" s="1593"/>
      <c r="Q25" s="1593"/>
      <c r="R25" s="1233"/>
      <c r="S25" s="1233"/>
      <c r="T25" s="1233"/>
      <c r="U25" s="1233"/>
      <c r="V25" s="1233"/>
      <c r="W25" s="1233"/>
      <c r="X25" s="1258"/>
      <c r="Y25" s="1237">
        <v>3</v>
      </c>
      <c r="Z25" s="1241"/>
      <c r="AA25" s="1242"/>
    </row>
    <row r="26" spans="1:27" s="1230" customFormat="1" ht="15.95" customHeight="1">
      <c r="A26" s="1609" t="s">
        <v>331</v>
      </c>
      <c r="B26" s="1610"/>
      <c r="C26" s="1610"/>
      <c r="D26" s="1610"/>
      <c r="E26" s="1610"/>
      <c r="F26" s="1610"/>
      <c r="G26" s="1610"/>
      <c r="H26" s="1610"/>
      <c r="I26" s="1610"/>
      <c r="J26" s="1610"/>
      <c r="K26" s="1610"/>
      <c r="L26" s="1610"/>
      <c r="M26" s="1610"/>
      <c r="N26" s="1610"/>
      <c r="O26" s="1611" t="s">
        <v>332</v>
      </c>
      <c r="P26" s="1611"/>
      <c r="Q26" s="1612"/>
      <c r="R26" s="1613">
        <v>125</v>
      </c>
      <c r="S26" s="1614"/>
      <c r="T26" s="1598" t="str">
        <f>IF(LIMITES!G21="","",LIMITES!G21)</f>
        <v/>
      </c>
      <c r="U26" s="1599"/>
      <c r="V26" s="1599"/>
      <c r="W26" s="1600"/>
      <c r="X26" s="1393" t="str">
        <f>+IF(D8="","",AA26)</f>
        <v/>
      </c>
      <c r="Y26" s="1240">
        <v>4</v>
      </c>
      <c r="Z26" s="1238"/>
      <c r="AA26" s="1244" t="s">
        <v>321</v>
      </c>
    </row>
    <row r="27" spans="1:27" s="1230" customFormat="1" ht="15.95" customHeight="1">
      <c r="A27" s="1649" t="s">
        <v>333</v>
      </c>
      <c r="B27" s="1650"/>
      <c r="C27" s="1650"/>
      <c r="D27" s="1650"/>
      <c r="E27" s="1650"/>
      <c r="F27" s="1650"/>
      <c r="G27" s="1650"/>
      <c r="H27" s="1650"/>
      <c r="I27" s="1650"/>
      <c r="J27" s="1650"/>
      <c r="K27" s="1650"/>
      <c r="L27" s="1650"/>
      <c r="M27" s="1650"/>
      <c r="N27" s="1650"/>
      <c r="O27" s="1655" t="s">
        <v>332</v>
      </c>
      <c r="P27" s="1655"/>
      <c r="Q27" s="1656"/>
      <c r="R27" s="1657">
        <v>126</v>
      </c>
      <c r="S27" s="1658"/>
      <c r="T27" s="1601" t="str">
        <f>IF(LIMITES!G23="","",LIMITES!G23)</f>
        <v/>
      </c>
      <c r="U27" s="1602"/>
      <c r="V27" s="1602"/>
      <c r="W27" s="1603"/>
      <c r="X27" s="1398" t="str">
        <f>+IF(D8="","",AA27)</f>
        <v/>
      </c>
      <c r="Y27" s="1237">
        <v>5</v>
      </c>
      <c r="Z27" s="1238"/>
      <c r="AA27" s="1245" t="s">
        <v>321</v>
      </c>
    </row>
    <row r="28" spans="1:27" s="1230" customFormat="1" ht="15.95" customHeight="1">
      <c r="A28" s="1681" t="s">
        <v>174</v>
      </c>
      <c r="B28" s="1682"/>
      <c r="C28" s="1682"/>
      <c r="D28" s="1682"/>
      <c r="E28" s="1682"/>
      <c r="F28" s="1682"/>
      <c r="G28" s="1682"/>
      <c r="H28" s="1682"/>
      <c r="I28" s="1682"/>
      <c r="J28" s="1682"/>
      <c r="K28" s="1682"/>
      <c r="L28" s="1682"/>
      <c r="M28" s="1682"/>
      <c r="N28" s="1682"/>
      <c r="O28" s="1683" t="s">
        <v>335</v>
      </c>
      <c r="P28" s="1683"/>
      <c r="Q28" s="1684"/>
      <c r="R28" s="1685">
        <v>133</v>
      </c>
      <c r="S28" s="1686"/>
      <c r="T28" s="1687" t="str">
        <f>+EQUIVALENTE!G23</f>
        <v/>
      </c>
      <c r="U28" s="1688"/>
      <c r="V28" s="1688"/>
      <c r="W28" s="1689"/>
      <c r="X28" s="1248" t="str">
        <f>+IF(D8="","",AA28)</f>
        <v/>
      </c>
      <c r="Y28" s="1240">
        <v>6</v>
      </c>
      <c r="Z28" s="1238"/>
      <c r="AA28" s="1245">
        <v>50</v>
      </c>
    </row>
    <row r="29" spans="1:27" s="1230" customFormat="1" ht="15.95" hidden="1" customHeight="1">
      <c r="A29" s="1690" t="s">
        <v>350</v>
      </c>
      <c r="B29" s="1691"/>
      <c r="C29" s="1691"/>
      <c r="D29" s="1691"/>
      <c r="E29" s="1691"/>
      <c r="F29" s="1691"/>
      <c r="G29" s="1691"/>
      <c r="H29" s="1691"/>
      <c r="I29" s="1691"/>
      <c r="J29" s="1691"/>
      <c r="K29" s="1691"/>
      <c r="L29" s="1691"/>
      <c r="M29" s="1691"/>
      <c r="N29" s="1691"/>
      <c r="O29" s="1692" t="s">
        <v>351</v>
      </c>
      <c r="P29" s="1692"/>
      <c r="Q29" s="1693"/>
      <c r="R29" s="1694">
        <v>235</v>
      </c>
      <c r="S29" s="1695"/>
      <c r="T29" s="1696"/>
      <c r="U29" s="1697"/>
      <c r="V29" s="1697"/>
      <c r="W29" s="1698"/>
      <c r="X29" s="1249" t="str">
        <f>IF(G8="","",HLOOKUP($G$8,$AA$16:$AA$42,Y29,0))</f>
        <v/>
      </c>
      <c r="Y29" s="1237">
        <v>13</v>
      </c>
      <c r="Z29" s="1238"/>
      <c r="AA29" s="1245">
        <v>10</v>
      </c>
    </row>
    <row r="30" spans="1:27" s="1230" customFormat="1" ht="15.95" customHeight="1">
      <c r="A30" s="1666" t="s">
        <v>322</v>
      </c>
      <c r="B30" s="1625"/>
      <c r="C30" s="1625"/>
      <c r="D30" s="1625"/>
      <c r="E30" s="1625"/>
      <c r="F30" s="1625"/>
      <c r="G30" s="1625"/>
      <c r="H30" s="1625"/>
      <c r="I30" s="1625"/>
      <c r="J30" s="1625"/>
      <c r="K30" s="1625"/>
      <c r="L30" s="1625"/>
      <c r="M30" s="1625"/>
      <c r="N30" s="1625"/>
      <c r="O30" s="1667" t="s">
        <v>332</v>
      </c>
      <c r="P30" s="1667"/>
      <c r="Q30" s="1668"/>
      <c r="R30" s="1669">
        <v>211</v>
      </c>
      <c r="S30" s="1670"/>
      <c r="T30" s="1671" t="str">
        <f>+IF('TERRONES DE ARCILLA'!J21="","",'TERRONES DE ARCILLA'!J21)</f>
        <v/>
      </c>
      <c r="U30" s="1672"/>
      <c r="V30" s="1672"/>
      <c r="W30" s="1673"/>
      <c r="X30" s="1250" t="str">
        <f>+IF(D8="","",AA30)</f>
        <v/>
      </c>
      <c r="Y30" s="1240">
        <v>7</v>
      </c>
      <c r="Z30" s="1238"/>
      <c r="AA30" s="1247">
        <v>1</v>
      </c>
    </row>
    <row r="31" spans="1:27" s="1214" customFormat="1" ht="17.100000000000001" customHeight="1">
      <c r="A31" s="1674" t="s">
        <v>731</v>
      </c>
      <c r="B31" s="1675"/>
      <c r="C31" s="1675"/>
      <c r="D31" s="1675"/>
      <c r="E31" s="1675"/>
      <c r="F31" s="1675"/>
      <c r="G31" s="1675"/>
      <c r="H31" s="1675"/>
      <c r="I31" s="1675"/>
      <c r="J31" s="1675"/>
      <c r="K31" s="1675"/>
      <c r="L31" s="1675"/>
      <c r="M31" s="1675"/>
      <c r="N31" s="1675"/>
      <c r="O31" s="1667" t="s">
        <v>332</v>
      </c>
      <c r="P31" s="1667"/>
      <c r="Q31" s="1668"/>
      <c r="R31" s="1676">
        <v>214</v>
      </c>
      <c r="S31" s="1677"/>
      <c r="T31" s="1678" t="str">
        <f>+IF('Lavado tamiz N°200'!H16="","",'Lavado tamiz N°200'!H16)</f>
        <v/>
      </c>
      <c r="U31" s="1679"/>
      <c r="V31" s="1679"/>
      <c r="W31" s="1680"/>
      <c r="X31" s="1251" t="str">
        <f>+IF(D8="","",AA31)</f>
        <v/>
      </c>
      <c r="Y31" s="1237">
        <v>8</v>
      </c>
      <c r="Z31" s="1241"/>
      <c r="AA31" s="1242">
        <v>5</v>
      </c>
    </row>
    <row r="32" spans="1:27" s="1230" customFormat="1" ht="15.95" hidden="1" customHeight="1">
      <c r="A32" s="1703" t="s">
        <v>336</v>
      </c>
      <c r="B32" s="1704"/>
      <c r="C32" s="1704"/>
      <c r="D32" s="1704"/>
      <c r="E32" s="1704"/>
      <c r="F32" s="1704"/>
      <c r="G32" s="1704"/>
      <c r="H32" s="1704"/>
      <c r="I32" s="1704"/>
      <c r="J32" s="1705"/>
      <c r="K32" s="1709" t="s">
        <v>35</v>
      </c>
      <c r="L32" s="1709"/>
      <c r="M32" s="1709"/>
      <c r="N32" s="1709"/>
      <c r="O32" s="1710" t="s">
        <v>329</v>
      </c>
      <c r="P32" s="1710"/>
      <c r="Q32" s="1711"/>
      <c r="R32" s="1712">
        <v>227</v>
      </c>
      <c r="S32" s="1713"/>
      <c r="T32" s="1598">
        <f>+IF('[32]CF - IF '!I20="","",'[32]CF - IF '!I20)</f>
        <v>0</v>
      </c>
      <c r="U32" s="1599"/>
      <c r="V32" s="1599"/>
      <c r="W32" s="1600"/>
      <c r="X32" s="1243" t="str">
        <f>IF(G8="","",HLOOKUP($G$8,$AA$16:$AA$42,Y32,0))</f>
        <v/>
      </c>
      <c r="Y32" s="1240">
        <v>16</v>
      </c>
      <c r="Z32" s="1238"/>
      <c r="AA32" s="1244">
        <v>85</v>
      </c>
    </row>
    <row r="33" spans="1:27" s="1230" customFormat="1" ht="15.95" hidden="1" customHeight="1">
      <c r="A33" s="1706"/>
      <c r="B33" s="1707"/>
      <c r="C33" s="1707"/>
      <c r="D33" s="1707"/>
      <c r="E33" s="1707"/>
      <c r="F33" s="1707"/>
      <c r="G33" s="1707"/>
      <c r="H33" s="1707"/>
      <c r="I33" s="1707"/>
      <c r="J33" s="1708"/>
      <c r="K33" s="1716" t="s">
        <v>36</v>
      </c>
      <c r="L33" s="1650"/>
      <c r="M33" s="1650"/>
      <c r="N33" s="1650"/>
      <c r="O33" s="1655" t="s">
        <v>329</v>
      </c>
      <c r="P33" s="1655"/>
      <c r="Q33" s="1656"/>
      <c r="R33" s="1714"/>
      <c r="S33" s="1715"/>
      <c r="T33" s="1717">
        <f>+IF('[32]CF - IF '!R20="","",'[32]CF - IF '!R20)</f>
        <v>0</v>
      </c>
      <c r="U33" s="1718"/>
      <c r="V33" s="1718"/>
      <c r="W33" s="1719"/>
      <c r="X33" s="1246" t="str">
        <f>IF(G8="","",HLOOKUP($G$8,$AA$16:$AA$42,Y33,0))</f>
        <v/>
      </c>
      <c r="Y33" s="1237">
        <v>17</v>
      </c>
      <c r="Z33" s="1238"/>
      <c r="AA33" s="1245">
        <v>60</v>
      </c>
    </row>
    <row r="34" spans="1:27" s="1230" customFormat="1" ht="15.95" hidden="1" customHeight="1">
      <c r="A34" s="1730" t="s">
        <v>337</v>
      </c>
      <c r="B34" s="1731"/>
      <c r="C34" s="1731"/>
      <c r="D34" s="1731"/>
      <c r="E34" s="1731"/>
      <c r="F34" s="1731"/>
      <c r="G34" s="1731"/>
      <c r="H34" s="1731"/>
      <c r="I34" s="1731"/>
      <c r="J34" s="1731"/>
      <c r="K34" s="1731"/>
      <c r="L34" s="1731"/>
      <c r="M34" s="1731"/>
      <c r="N34" s="1731"/>
      <c r="O34" s="1692" t="s">
        <v>332</v>
      </c>
      <c r="P34" s="1692"/>
      <c r="Q34" s="1693"/>
      <c r="R34" s="1722">
        <v>230</v>
      </c>
      <c r="S34" s="1723"/>
      <c r="T34" s="1687">
        <f>+IF('[32]CF - IF '!J38="","",'[32]CF - IF '!J38)</f>
        <v>0</v>
      </c>
      <c r="U34" s="1688"/>
      <c r="V34" s="1688"/>
      <c r="W34" s="1689"/>
      <c r="X34" s="1252" t="str">
        <f>IF(G8="","",HLOOKUP($G$8,$AA$16:$AA$42,Y34,0))</f>
        <v/>
      </c>
      <c r="Y34" s="1240">
        <v>18</v>
      </c>
      <c r="Z34" s="1238"/>
      <c r="AA34" s="1245">
        <v>35</v>
      </c>
    </row>
    <row r="35" spans="1:27" s="1230" customFormat="1" ht="15.95" hidden="1" customHeight="1">
      <c r="A35" s="1699" t="s">
        <v>338</v>
      </c>
      <c r="B35" s="1700"/>
      <c r="C35" s="1700"/>
      <c r="D35" s="1700"/>
      <c r="E35" s="1700"/>
      <c r="F35" s="1700"/>
      <c r="G35" s="1700"/>
      <c r="H35" s="1700"/>
      <c r="I35" s="1700"/>
      <c r="J35" s="1700"/>
      <c r="K35" s="1700"/>
      <c r="L35" s="1700"/>
      <c r="M35" s="1700"/>
      <c r="N35" s="1700"/>
      <c r="O35" s="1701" t="s">
        <v>332</v>
      </c>
      <c r="P35" s="1701"/>
      <c r="Q35" s="1702"/>
      <c r="R35" s="1732"/>
      <c r="S35" s="1733"/>
      <c r="T35" s="1687">
        <f>IF('[32]CF - IF '!AE38="","",'[32]CF - IF '!AE38)</f>
        <v>0</v>
      </c>
      <c r="U35" s="1688"/>
      <c r="V35" s="1688"/>
      <c r="W35" s="1689"/>
      <c r="X35" s="1252" t="str">
        <f>IF(G8="","",HLOOKUP($G$8,$AA$16:$AA$42,Y35,0))</f>
        <v/>
      </c>
      <c r="Y35" s="1237">
        <v>19</v>
      </c>
      <c r="Z35" s="1238"/>
      <c r="AA35" s="1245">
        <v>35</v>
      </c>
    </row>
    <row r="36" spans="1:27" s="1230" customFormat="1" ht="15.95" hidden="1" customHeight="1">
      <c r="A36" s="1720" t="s">
        <v>339</v>
      </c>
      <c r="B36" s="1721"/>
      <c r="C36" s="1721"/>
      <c r="D36" s="1721"/>
      <c r="E36" s="1721"/>
      <c r="F36" s="1721"/>
      <c r="G36" s="1721"/>
      <c r="H36" s="1721"/>
      <c r="I36" s="1721"/>
      <c r="J36" s="1721"/>
      <c r="K36" s="1721"/>
      <c r="L36" s="1721"/>
      <c r="M36" s="1721"/>
      <c r="N36" s="1721"/>
      <c r="O36" s="1667" t="s">
        <v>329</v>
      </c>
      <c r="P36" s="1667"/>
      <c r="Q36" s="1668"/>
      <c r="R36" s="1722">
        <v>239</v>
      </c>
      <c r="S36" s="1723"/>
      <c r="T36" s="1253"/>
      <c r="U36" s="1254"/>
      <c r="V36" s="1254"/>
      <c r="W36" s="1255"/>
      <c r="X36" s="1256"/>
      <c r="Y36" s="1237"/>
      <c r="Z36" s="1238"/>
      <c r="AA36" s="1245"/>
    </row>
    <row r="37" spans="1:27" s="1230" customFormat="1" ht="15.95" hidden="1" customHeight="1">
      <c r="Y37" s="1257">
        <v>20</v>
      </c>
      <c r="Z37" s="1238"/>
      <c r="AA37" s="1245">
        <v>35</v>
      </c>
    </row>
    <row r="38" spans="1:27" s="1214" customFormat="1" ht="17.100000000000001" customHeight="1">
      <c r="A38" s="1724" t="s">
        <v>732</v>
      </c>
      <c r="B38" s="1593"/>
      <c r="C38" s="1593"/>
      <c r="D38" s="1593"/>
      <c r="E38" s="1593"/>
      <c r="F38" s="1593"/>
      <c r="G38" s="1593"/>
      <c r="H38" s="1593"/>
      <c r="I38" s="1593"/>
      <c r="J38" s="1593"/>
      <c r="K38" s="1593"/>
      <c r="L38" s="1593"/>
      <c r="M38" s="1593"/>
      <c r="N38" s="1593"/>
      <c r="O38" s="1593"/>
      <c r="P38" s="1593"/>
      <c r="Q38" s="1593"/>
      <c r="R38" s="1233"/>
      <c r="S38" s="1233"/>
      <c r="T38" s="1233"/>
      <c r="U38" s="1233"/>
      <c r="V38" s="1233"/>
      <c r="W38" s="1233"/>
      <c r="X38" s="1258"/>
      <c r="Y38" s="1237">
        <v>9</v>
      </c>
      <c r="Z38" s="1241"/>
      <c r="AA38" s="1242"/>
    </row>
    <row r="39" spans="1:27" s="1230" customFormat="1" ht="15.95" customHeight="1">
      <c r="A39" s="1725" t="s">
        <v>733</v>
      </c>
      <c r="B39" s="1726"/>
      <c r="C39" s="1726"/>
      <c r="D39" s="1726"/>
      <c r="E39" s="1726"/>
      <c r="F39" s="1726"/>
      <c r="G39" s="1726"/>
      <c r="H39" s="1726"/>
      <c r="I39" s="1726"/>
      <c r="J39" s="1726"/>
      <c r="K39" s="1726"/>
      <c r="L39" s="1726"/>
      <c r="M39" s="1726"/>
      <c r="N39" s="1726"/>
      <c r="O39" s="1727"/>
      <c r="P39" s="1727"/>
      <c r="Q39" s="1728"/>
      <c r="R39" s="1729">
        <v>212</v>
      </c>
      <c r="S39" s="1713"/>
      <c r="T39" s="1744" t="str">
        <f>+IF(X12="SEMANAL ","N/A",IF(COLORIMETRIA!C13="","",+COLORIMETRIA!C13))</f>
        <v/>
      </c>
      <c r="U39" s="1745"/>
      <c r="V39" s="1745"/>
      <c r="W39" s="1746"/>
      <c r="X39" s="1300" t="str">
        <f>+IF(D8="","",AA39)</f>
        <v/>
      </c>
      <c r="Y39" s="1240">
        <v>10</v>
      </c>
      <c r="Z39" s="1238"/>
      <c r="AA39" s="1239" t="s">
        <v>790</v>
      </c>
    </row>
    <row r="40" spans="1:27" s="1230" customFormat="1" ht="15.95" customHeight="1">
      <c r="A40" s="1724" t="s">
        <v>788</v>
      </c>
      <c r="B40" s="1593"/>
      <c r="C40" s="1593"/>
      <c r="D40" s="1593"/>
      <c r="E40" s="1593"/>
      <c r="F40" s="1593"/>
      <c r="G40" s="1593"/>
      <c r="H40" s="1593"/>
      <c r="I40" s="1593"/>
      <c r="J40" s="1593"/>
      <c r="K40" s="1593"/>
      <c r="L40" s="1593"/>
      <c r="M40" s="1593"/>
      <c r="N40" s="1593"/>
      <c r="O40" s="1593"/>
      <c r="P40" s="1593"/>
      <c r="Q40" s="1593"/>
      <c r="R40" s="1233"/>
      <c r="S40" s="1233"/>
      <c r="T40" s="1233"/>
      <c r="U40" s="1233"/>
      <c r="V40" s="1233"/>
      <c r="W40" s="1233"/>
      <c r="X40" s="1258"/>
      <c r="Y40" s="1259">
        <v>11</v>
      </c>
      <c r="Z40" s="1238"/>
    </row>
    <row r="41" spans="1:27" s="1230" customFormat="1" ht="15.95" customHeight="1">
      <c r="A41" s="1760" t="s">
        <v>791</v>
      </c>
      <c r="B41" s="1761"/>
      <c r="C41" s="1761"/>
      <c r="D41" s="1761"/>
      <c r="E41" s="1761"/>
      <c r="F41" s="1761"/>
      <c r="G41" s="1764" t="s">
        <v>752</v>
      </c>
      <c r="H41" s="1764"/>
      <c r="I41" s="1764"/>
      <c r="J41" s="1764"/>
      <c r="K41" s="1764"/>
      <c r="L41" s="1764"/>
      <c r="M41" s="1765"/>
      <c r="N41" s="1765"/>
      <c r="O41" s="1765"/>
      <c r="P41" s="1765"/>
      <c r="Q41" s="1766"/>
      <c r="R41" s="1712">
        <v>222</v>
      </c>
      <c r="S41" s="1713"/>
      <c r="T41" s="1749" t="str">
        <f>+IF(X12="SEMANAL ","N/A",'INV 222-13'!N20)</f>
        <v/>
      </c>
      <c r="U41" s="1750"/>
      <c r="V41" s="1750"/>
      <c r="W41" s="1751"/>
      <c r="X41" s="1301" t="str">
        <f>+IF(D7="","",AA41)</f>
        <v/>
      </c>
      <c r="Y41" s="1259">
        <v>12</v>
      </c>
      <c r="Z41" s="1238"/>
      <c r="AA41" s="1260" t="s">
        <v>729</v>
      </c>
    </row>
    <row r="42" spans="1:27" s="1267" customFormat="1" ht="15.95" customHeight="1">
      <c r="A42" s="1762"/>
      <c r="B42" s="1763"/>
      <c r="C42" s="1763"/>
      <c r="D42" s="1763"/>
      <c r="E42" s="1763"/>
      <c r="F42" s="1763"/>
      <c r="G42" s="1767" t="s">
        <v>789</v>
      </c>
      <c r="H42" s="1767"/>
      <c r="I42" s="1767"/>
      <c r="J42" s="1767"/>
      <c r="K42" s="1767"/>
      <c r="L42" s="1767"/>
      <c r="M42" s="1303"/>
      <c r="N42" s="1303"/>
      <c r="O42" s="1747" t="s">
        <v>95</v>
      </c>
      <c r="P42" s="1747"/>
      <c r="Q42" s="1748"/>
      <c r="R42" s="1768"/>
      <c r="S42" s="1769"/>
      <c r="T42" s="1749" t="str">
        <f>+IF(X12="SEMANAL ","N/A",'INV 222-13'!U36)</f>
        <v/>
      </c>
      <c r="U42" s="1750"/>
      <c r="V42" s="1750"/>
      <c r="W42" s="1751"/>
      <c r="X42" s="1301" t="str">
        <f>+IF(D8="","",AA42)</f>
        <v/>
      </c>
      <c r="Y42" s="1266">
        <v>24</v>
      </c>
      <c r="AA42" s="1260" t="s">
        <v>729</v>
      </c>
    </row>
    <row r="43" spans="1:27" s="1267" customFormat="1" ht="15.95" customHeight="1">
      <c r="A43" s="1724" t="s">
        <v>793</v>
      </c>
      <c r="B43" s="1593"/>
      <c r="C43" s="1593"/>
      <c r="D43" s="1593"/>
      <c r="E43" s="1593"/>
      <c r="F43" s="1593"/>
      <c r="G43" s="1593"/>
      <c r="H43" s="1593"/>
      <c r="I43" s="1593"/>
      <c r="J43" s="1593"/>
      <c r="K43" s="1593"/>
      <c r="L43" s="1593"/>
      <c r="M43" s="1593"/>
      <c r="N43" s="1593"/>
      <c r="O43" s="1593"/>
      <c r="P43" s="1593"/>
      <c r="Q43" s="1593"/>
      <c r="R43" s="1233"/>
      <c r="S43" s="1233"/>
      <c r="T43" s="1233"/>
      <c r="U43" s="1233"/>
      <c r="V43" s="1233"/>
      <c r="W43" s="1233"/>
      <c r="X43" s="1258"/>
      <c r="Y43" s="1266">
        <v>25</v>
      </c>
      <c r="AA43" s="1268"/>
    </row>
    <row r="44" spans="1:27" s="1267" customFormat="1" ht="15.75" customHeight="1">
      <c r="A44" s="1752" t="s">
        <v>798</v>
      </c>
      <c r="B44" s="1753"/>
      <c r="C44" s="1753"/>
      <c r="D44" s="1753"/>
      <c r="E44" s="1753"/>
      <c r="F44" s="1753"/>
      <c r="G44" s="1753"/>
      <c r="H44" s="1753"/>
      <c r="I44" s="1753"/>
      <c r="J44" s="1753"/>
      <c r="K44" s="1753"/>
      <c r="L44" s="1753"/>
      <c r="M44" s="1753"/>
      <c r="N44" s="1753"/>
      <c r="O44" s="1754"/>
      <c r="P44" s="1754"/>
      <c r="Q44" s="1755"/>
      <c r="R44" s="1756">
        <v>217</v>
      </c>
      <c r="S44" s="1636"/>
      <c r="T44" s="1757" t="str">
        <f>+IF(X12="SEMANAL ","N/A",GRAVEDAD!U22)</f>
        <v/>
      </c>
      <c r="U44" s="1758"/>
      <c r="V44" s="1758"/>
      <c r="W44" s="1759"/>
      <c r="X44" s="1299" t="str">
        <f>+IF(D8="","",AA42)</f>
        <v/>
      </c>
      <c r="Y44" s="1266">
        <v>26</v>
      </c>
      <c r="AA44" s="1268" t="s">
        <v>729</v>
      </c>
    </row>
    <row r="45" spans="1:27" s="1267" customFormat="1" ht="14.1" hidden="1" customHeight="1">
      <c r="A45" s="1261"/>
      <c r="B45" s="1262"/>
      <c r="C45" s="1262"/>
      <c r="D45" s="1262"/>
      <c r="E45" s="1262"/>
      <c r="F45" s="1262"/>
      <c r="G45" s="1262"/>
      <c r="H45" s="1262"/>
      <c r="I45" s="1262"/>
      <c r="J45" s="1262"/>
      <c r="K45" s="1262"/>
      <c r="L45" s="1262"/>
      <c r="M45" s="1262"/>
      <c r="N45" s="1262"/>
      <c r="O45" s="1262"/>
      <c r="P45" s="1262"/>
      <c r="Q45" s="1262"/>
      <c r="R45" s="1263"/>
      <c r="S45" s="1263"/>
      <c r="T45" s="1264"/>
      <c r="U45" s="1264"/>
      <c r="V45" s="1264"/>
      <c r="W45" s="1264"/>
      <c r="X45" s="1265"/>
      <c r="Y45" s="1266"/>
      <c r="Z45" s="1366"/>
      <c r="AA45" s="840" t="s">
        <v>631</v>
      </c>
    </row>
    <row r="46" spans="1:27" s="1267" customFormat="1" ht="15.95" customHeight="1">
      <c r="A46" s="1734" t="s">
        <v>153</v>
      </c>
      <c r="B46" s="1735"/>
      <c r="C46" s="1735"/>
      <c r="D46" s="1735"/>
      <c r="E46" s="1735"/>
      <c r="F46" s="1736"/>
      <c r="G46" s="1736"/>
      <c r="H46" s="1736"/>
      <c r="I46" s="1736"/>
      <c r="J46" s="1736"/>
      <c r="K46" s="1736"/>
      <c r="L46" s="1736"/>
      <c r="M46" s="1736"/>
      <c r="N46" s="1736"/>
      <c r="O46" s="1736"/>
      <c r="P46" s="1736"/>
      <c r="Q46" s="1736"/>
      <c r="R46" s="1736"/>
      <c r="S46" s="1736"/>
      <c r="T46" s="1736"/>
      <c r="U46" s="1736"/>
      <c r="V46" s="1736"/>
      <c r="W46" s="1736"/>
      <c r="X46" s="1737"/>
      <c r="Y46" s="1266"/>
      <c r="Z46" s="1367"/>
      <c r="AA46" s="81"/>
    </row>
    <row r="47" spans="1:27" s="1269" customFormat="1" ht="15.95" customHeight="1">
      <c r="A47" s="1738"/>
      <c r="B47" s="1739"/>
      <c r="C47" s="1739"/>
      <c r="D47" s="1739"/>
      <c r="E47" s="1739"/>
      <c r="F47" s="1739"/>
      <c r="G47" s="1739"/>
      <c r="H47" s="1739"/>
      <c r="I47" s="1739"/>
      <c r="J47" s="1739"/>
      <c r="K47" s="1739"/>
      <c r="L47" s="1739"/>
      <c r="M47" s="1739"/>
      <c r="N47" s="1739"/>
      <c r="O47" s="1739"/>
      <c r="P47" s="1739"/>
      <c r="Q47" s="1739"/>
      <c r="R47" s="1739"/>
      <c r="S47" s="1739"/>
      <c r="T47" s="1739"/>
      <c r="U47" s="1739"/>
      <c r="V47" s="1739"/>
      <c r="W47" s="1739"/>
      <c r="X47" s="1740"/>
      <c r="Z47" s="1367"/>
      <c r="AA47" s="81"/>
    </row>
    <row r="48" spans="1:27" s="84" customFormat="1" ht="15.95" customHeight="1">
      <c r="A48" s="1741"/>
      <c r="B48" s="1742"/>
      <c r="C48" s="1742"/>
      <c r="D48" s="1742"/>
      <c r="E48" s="1742"/>
      <c r="F48" s="1743"/>
      <c r="G48" s="1741" t="s">
        <v>10</v>
      </c>
      <c r="H48" s="1742"/>
      <c r="I48" s="1742"/>
      <c r="J48" s="1742"/>
      <c r="K48" s="1742"/>
      <c r="L48" s="1742"/>
      <c r="M48" s="1742"/>
      <c r="N48" s="1742"/>
      <c r="O48" s="1743"/>
      <c r="P48" s="1741" t="s">
        <v>22</v>
      </c>
      <c r="Q48" s="1742"/>
      <c r="R48" s="1742"/>
      <c r="S48" s="1742"/>
      <c r="T48" s="1742"/>
      <c r="U48" s="1743"/>
      <c r="V48" s="1741" t="s">
        <v>23</v>
      </c>
      <c r="W48" s="1742"/>
      <c r="X48" s="1743"/>
      <c r="Y48" s="82"/>
      <c r="Z48" s="1367"/>
      <c r="AA48" s="83"/>
    </row>
    <row r="49" spans="1:27" s="84" customFormat="1" ht="45" customHeight="1">
      <c r="A49" s="1784" t="s">
        <v>13</v>
      </c>
      <c r="B49" s="1785"/>
      <c r="C49" s="1785"/>
      <c r="D49" s="1785"/>
      <c r="E49" s="1785"/>
      <c r="F49" s="1786"/>
      <c r="G49" s="1787"/>
      <c r="H49" s="1788"/>
      <c r="I49" s="1788"/>
      <c r="J49" s="1788"/>
      <c r="K49" s="1788"/>
      <c r="L49" s="1788"/>
      <c r="M49" s="1788"/>
      <c r="N49" s="1788"/>
      <c r="O49" s="1789"/>
      <c r="P49" s="1790"/>
      <c r="Q49" s="1791"/>
      <c r="R49" s="1791"/>
      <c r="S49" s="1791"/>
      <c r="T49" s="1791"/>
      <c r="U49" s="1792"/>
      <c r="V49" s="1790"/>
      <c r="W49" s="1791"/>
      <c r="X49" s="1792"/>
      <c r="Y49" s="85"/>
      <c r="Z49" s="1367"/>
      <c r="AA49" s="85"/>
    </row>
    <row r="50" spans="1:27" ht="15" customHeight="1">
      <c r="A50" s="1784" t="s">
        <v>609</v>
      </c>
      <c r="B50" s="1785"/>
      <c r="C50" s="1785"/>
      <c r="D50" s="1785"/>
      <c r="E50" s="1785"/>
      <c r="F50" s="1786"/>
      <c r="G50" s="1793" t="s">
        <v>560</v>
      </c>
      <c r="H50" s="1794"/>
      <c r="I50" s="1794"/>
      <c r="J50" s="1794"/>
      <c r="K50" s="1794"/>
      <c r="L50" s="1794"/>
      <c r="M50" s="1794"/>
      <c r="N50" s="1794"/>
      <c r="O50" s="1795"/>
      <c r="P50" s="1796" t="s">
        <v>560</v>
      </c>
      <c r="Q50" s="1797"/>
      <c r="R50" s="1797"/>
      <c r="S50" s="1797"/>
      <c r="T50" s="1797"/>
      <c r="U50" s="1798"/>
      <c r="V50" s="1793" t="s">
        <v>560</v>
      </c>
      <c r="W50" s="1794"/>
      <c r="X50" s="1795"/>
      <c r="Y50" s="1208"/>
      <c r="Z50" s="1367"/>
    </row>
    <row r="51" spans="1:27" ht="15" customHeight="1">
      <c r="A51" s="1770" t="s">
        <v>14</v>
      </c>
      <c r="B51" s="1771"/>
      <c r="C51" s="1771"/>
      <c r="D51" s="1771"/>
      <c r="E51" s="1771"/>
      <c r="F51" s="1772"/>
      <c r="G51" s="1773" t="str">
        <f>IF(G50="--","",VLOOKUP(G50,firmas!A2:B31,2,0))</f>
        <v/>
      </c>
      <c r="H51" s="1774"/>
      <c r="I51" s="1774"/>
      <c r="J51" s="1774"/>
      <c r="K51" s="1774"/>
      <c r="L51" s="1774"/>
      <c r="M51" s="1774"/>
      <c r="N51" s="1774"/>
      <c r="O51" s="1775"/>
      <c r="P51" s="1776" t="str">
        <f>IF(P50="--","",VLOOKUP(P50,firmas!A33:B35,2,0))</f>
        <v/>
      </c>
      <c r="Q51" s="1777"/>
      <c r="R51" s="1777"/>
      <c r="S51" s="1777"/>
      <c r="T51" s="1777"/>
      <c r="U51" s="1778"/>
      <c r="V51" s="1779" t="str">
        <f>IF(V50="--","",VLOOKUP(V50,[32]firmas!A33:B34,2))</f>
        <v/>
      </c>
      <c r="W51" s="1780"/>
      <c r="X51" s="1781"/>
      <c r="Z51" s="1367"/>
    </row>
    <row r="52" spans="1:27" ht="18" customHeight="1">
      <c r="A52" s="1782" t="s">
        <v>25</v>
      </c>
      <c r="B52" s="1782"/>
      <c r="C52" s="1782"/>
      <c r="D52" s="1782"/>
      <c r="E52" s="1782"/>
      <c r="F52" s="1782"/>
      <c r="G52" s="1782"/>
      <c r="H52" s="1782"/>
      <c r="I52" s="1782"/>
      <c r="J52" s="1782"/>
      <c r="K52" s="1782"/>
      <c r="L52" s="1782"/>
      <c r="M52" s="1782"/>
      <c r="N52" s="1782"/>
      <c r="O52" s="1782"/>
      <c r="P52" s="1782"/>
      <c r="Q52" s="1782"/>
      <c r="R52" s="1782"/>
      <c r="S52" s="1782"/>
      <c r="T52" s="1782"/>
      <c r="U52" s="1782"/>
      <c r="V52" s="1782"/>
      <c r="W52" s="1782"/>
      <c r="X52" s="1782"/>
      <c r="Z52" s="1367"/>
    </row>
    <row r="53" spans="1:27" ht="27.95" customHeight="1">
      <c r="A53" s="1783" t="s">
        <v>16</v>
      </c>
      <c r="B53" s="1783"/>
      <c r="C53" s="1783"/>
      <c r="D53" s="1783"/>
      <c r="E53" s="1783"/>
      <c r="F53" s="1783"/>
      <c r="G53" s="1783"/>
      <c r="H53" s="1783"/>
      <c r="I53" s="1783"/>
      <c r="J53" s="1783"/>
      <c r="K53" s="1783"/>
      <c r="L53" s="1783"/>
      <c r="M53" s="1783"/>
      <c r="N53" s="1783"/>
      <c r="O53" s="1783"/>
      <c r="P53" s="1783"/>
      <c r="Q53" s="1783"/>
      <c r="R53" s="1783"/>
      <c r="S53" s="1783"/>
      <c r="T53" s="1783"/>
      <c r="U53" s="1783"/>
      <c r="V53" s="1783"/>
      <c r="W53" s="1783"/>
      <c r="X53" s="1783"/>
      <c r="Z53" s="1367"/>
    </row>
    <row r="54" spans="1:27" ht="15.75">
      <c r="Z54" s="1367"/>
    </row>
    <row r="55" spans="1:27" ht="15.75">
      <c r="F55" s="1365"/>
      <c r="Z55" s="1367"/>
    </row>
    <row r="56" spans="1:27" ht="15.75">
      <c r="F56" s="1365"/>
      <c r="Z56" s="1367"/>
    </row>
    <row r="57" spans="1:27" ht="15.75">
      <c r="F57" s="1365"/>
      <c r="Z57" s="1367"/>
    </row>
    <row r="58" spans="1:27" ht="15.75">
      <c r="F58" s="1365"/>
      <c r="Z58" s="1367"/>
    </row>
    <row r="59" spans="1:27" ht="15.75">
      <c r="F59" s="1365"/>
      <c r="Z59" s="1367"/>
    </row>
    <row r="60" spans="1:27" ht="15.75">
      <c r="F60" s="1365"/>
      <c r="Z60" s="1367"/>
    </row>
    <row r="61" spans="1:27" ht="15.75">
      <c r="F61" s="1365"/>
      <c r="Z61" s="1367"/>
    </row>
    <row r="62" spans="1:27" ht="15.75">
      <c r="F62" s="1365"/>
      <c r="Z62" s="1367"/>
    </row>
    <row r="63" spans="1:27" ht="15.75">
      <c r="F63" s="1365"/>
      <c r="Z63" s="1367"/>
    </row>
    <row r="64" spans="1:27" ht="15.75">
      <c r="F64" s="1365"/>
      <c r="Z64" s="1208"/>
    </row>
    <row r="65" spans="6:26" ht="15.75">
      <c r="F65" s="1365"/>
      <c r="Z65" s="1208"/>
    </row>
    <row r="66" spans="6:26" ht="15.75">
      <c r="F66" s="1365"/>
      <c r="Z66" s="1208"/>
    </row>
    <row r="67" spans="6:26" ht="15.75">
      <c r="F67" s="1365"/>
      <c r="Z67" s="1208"/>
    </row>
    <row r="68" spans="6:26" ht="15.75">
      <c r="F68" s="1365"/>
      <c r="Z68" s="1208"/>
    </row>
    <row r="69" spans="6:26" ht="15.75">
      <c r="F69" s="1365"/>
      <c r="Z69" s="1208"/>
    </row>
    <row r="70" spans="6:26" ht="15.75">
      <c r="F70" s="1365"/>
      <c r="Z70" s="1208"/>
    </row>
    <row r="71" spans="6:26" ht="15.75">
      <c r="F71" s="1365"/>
      <c r="Z71" s="1208"/>
    </row>
    <row r="72" spans="6:26" ht="15.75">
      <c r="F72" s="1365"/>
      <c r="Z72" s="1208"/>
    </row>
    <row r="73" spans="6:26" ht="15.75">
      <c r="F73" s="1365"/>
      <c r="Z73" s="1208"/>
    </row>
    <row r="74" spans="6:26" ht="15.75">
      <c r="F74" s="1365"/>
      <c r="Z74" s="1208"/>
    </row>
    <row r="75" spans="6:26" ht="15.75">
      <c r="F75" s="1365"/>
      <c r="Z75" s="1208"/>
    </row>
    <row r="76" spans="6:26" ht="15.75">
      <c r="F76" s="1365"/>
      <c r="Z76" s="1208"/>
    </row>
    <row r="77" spans="6:26" ht="15.75">
      <c r="F77" s="1365"/>
      <c r="Z77" s="1208"/>
    </row>
    <row r="78" spans="6:26" ht="15.75">
      <c r="F78" s="1365"/>
      <c r="Z78" s="1208"/>
    </row>
    <row r="79" spans="6:26">
      <c r="F79" s="1208"/>
      <c r="Z79" s="1208"/>
    </row>
    <row r="80" spans="6:26">
      <c r="Z80" s="1208"/>
    </row>
    <row r="81" spans="26:26">
      <c r="Z81" s="1208"/>
    </row>
    <row r="82" spans="26:26">
      <c r="Z82" s="1208"/>
    </row>
    <row r="83" spans="26:26">
      <c r="Z83" s="1208"/>
    </row>
    <row r="84" spans="26:26">
      <c r="Z84" s="1208"/>
    </row>
    <row r="85" spans="26:26">
      <c r="Z85" s="1208"/>
    </row>
    <row r="86" spans="26:26">
      <c r="Z86" s="1208"/>
    </row>
    <row r="87" spans="26:26">
      <c r="Z87" s="1208"/>
    </row>
    <row r="88" spans="26:26">
      <c r="Z88" s="1208"/>
    </row>
    <row r="89" spans="26:26">
      <c r="Z89" s="1208"/>
    </row>
    <row r="90" spans="26:26">
      <c r="Z90" s="1208"/>
    </row>
    <row r="91" spans="26:26">
      <c r="Z91" s="1208"/>
    </row>
    <row r="92" spans="26:26">
      <c r="Z92" s="1208"/>
    </row>
    <row r="93" spans="26:26">
      <c r="Z93" s="1208"/>
    </row>
    <row r="94" spans="26:26">
      <c r="Z94" s="1208"/>
    </row>
    <row r="95" spans="26:26">
      <c r="Z95" s="1208"/>
    </row>
    <row r="96" spans="26:26">
      <c r="Z96" s="1208"/>
    </row>
    <row r="97" spans="26:26">
      <c r="Z97" s="1208"/>
    </row>
    <row r="98" spans="26:26">
      <c r="Z98" s="1208"/>
    </row>
    <row r="99" spans="26:26">
      <c r="Z99" s="1208"/>
    </row>
    <row r="100" spans="26:26">
      <c r="Z100" s="1208"/>
    </row>
    <row r="101" spans="26:26">
      <c r="Z101" s="1208"/>
    </row>
    <row r="102" spans="26:26">
      <c r="Z102" s="1208"/>
    </row>
    <row r="103" spans="26:26">
      <c r="Z103" s="1208"/>
    </row>
    <row r="104" spans="26:26">
      <c r="Z104" s="1208"/>
    </row>
    <row r="105" spans="26:26">
      <c r="Z105" s="1208"/>
    </row>
    <row r="106" spans="26:26">
      <c r="Z106" s="1208"/>
    </row>
    <row r="107" spans="26:26">
      <c r="Z107" s="1208"/>
    </row>
    <row r="108" spans="26:26">
      <c r="Z108" s="1208"/>
    </row>
    <row r="109" spans="26:26">
      <c r="Z109" s="1208"/>
    </row>
    <row r="110" spans="26:26">
      <c r="Z110" s="1208"/>
    </row>
    <row r="111" spans="26:26">
      <c r="Z111" s="1208"/>
    </row>
    <row r="112" spans="26:26">
      <c r="Z112" s="1208"/>
    </row>
    <row r="113" spans="26:26">
      <c r="Z113" s="1208"/>
    </row>
    <row r="114" spans="26:26">
      <c r="Z114" s="1208"/>
    </row>
    <row r="115" spans="26:26">
      <c r="Z115" s="1208"/>
    </row>
    <row r="116" spans="26:26">
      <c r="Z116" s="1208"/>
    </row>
    <row r="117" spans="26:26">
      <c r="Z117" s="1208"/>
    </row>
    <row r="118" spans="26:26">
      <c r="Z118" s="1208"/>
    </row>
    <row r="119" spans="26:26">
      <c r="Z119" s="1208"/>
    </row>
    <row r="120" spans="26:26">
      <c r="Z120" s="1208"/>
    </row>
    <row r="121" spans="26:26">
      <c r="Z121" s="1208"/>
    </row>
    <row r="122" spans="26:26">
      <c r="Z122" s="1208"/>
    </row>
    <row r="123" spans="26:26">
      <c r="Z123" s="1208"/>
    </row>
    <row r="124" spans="26:26">
      <c r="Z124" s="1208"/>
    </row>
    <row r="125" spans="26:26">
      <c r="Z125" s="1208"/>
    </row>
    <row r="126" spans="26:26">
      <c r="Z126" s="1208"/>
    </row>
    <row r="127" spans="26:26">
      <c r="Z127" s="1208"/>
    </row>
    <row r="128" spans="26:26">
      <c r="Z128" s="1208"/>
    </row>
    <row r="129" spans="26:26">
      <c r="Z129" s="1208"/>
    </row>
    <row r="130" spans="26:26">
      <c r="Z130" s="1208"/>
    </row>
    <row r="131" spans="26:26">
      <c r="Z131" s="1208"/>
    </row>
    <row r="132" spans="26:26">
      <c r="Z132" s="1208"/>
    </row>
    <row r="133" spans="26:26">
      <c r="Z133" s="1208"/>
    </row>
    <row r="134" spans="26:26">
      <c r="Z134" s="1208"/>
    </row>
    <row r="135" spans="26:26">
      <c r="Z135" s="1208"/>
    </row>
    <row r="136" spans="26:26">
      <c r="Z136" s="1208"/>
    </row>
    <row r="137" spans="26:26">
      <c r="Z137" s="1208"/>
    </row>
    <row r="138" spans="26:26">
      <c r="Z138" s="1208"/>
    </row>
    <row r="139" spans="26:26">
      <c r="Z139" s="1208"/>
    </row>
    <row r="140" spans="26:26">
      <c r="Z140" s="1208"/>
    </row>
    <row r="141" spans="26:26">
      <c r="Z141" s="1208"/>
    </row>
    <row r="142" spans="26:26">
      <c r="Z142" s="1208"/>
    </row>
    <row r="143" spans="26:26">
      <c r="Z143" s="1208"/>
    </row>
    <row r="144" spans="26:26">
      <c r="Z144" s="1208"/>
    </row>
    <row r="145" spans="26:26">
      <c r="Z145" s="1208"/>
    </row>
    <row r="146" spans="26:26">
      <c r="Z146" s="1208"/>
    </row>
    <row r="147" spans="26:26">
      <c r="Z147" s="1208"/>
    </row>
    <row r="148" spans="26:26">
      <c r="Z148" s="1208"/>
    </row>
    <row r="149" spans="26:26">
      <c r="Z149" s="1208"/>
    </row>
    <row r="150" spans="26:26">
      <c r="Z150" s="1208"/>
    </row>
    <row r="151" spans="26:26">
      <c r="Z151" s="1208"/>
    </row>
    <row r="152" spans="26:26">
      <c r="Z152" s="1208"/>
    </row>
    <row r="153" spans="26:26">
      <c r="Z153" s="1208"/>
    </row>
    <row r="154" spans="26:26">
      <c r="Z154" s="1208"/>
    </row>
    <row r="155" spans="26:26">
      <c r="Z155" s="1208"/>
    </row>
    <row r="156" spans="26:26">
      <c r="Z156" s="1208"/>
    </row>
    <row r="157" spans="26:26">
      <c r="Z157" s="1208"/>
    </row>
    <row r="158" spans="26:26">
      <c r="Z158" s="1208"/>
    </row>
    <row r="159" spans="26:26">
      <c r="Z159" s="1208"/>
    </row>
    <row r="160" spans="26:26">
      <c r="Z160" s="1208"/>
    </row>
    <row r="161" spans="26:26">
      <c r="Z161" s="1208"/>
    </row>
    <row r="162" spans="26:26">
      <c r="Z162" s="1208"/>
    </row>
    <row r="163" spans="26:26">
      <c r="Z163" s="1208"/>
    </row>
    <row r="164" spans="26:26">
      <c r="Z164" s="1208"/>
    </row>
    <row r="165" spans="26:26">
      <c r="Z165" s="1208"/>
    </row>
    <row r="166" spans="26:26">
      <c r="Z166" s="1208"/>
    </row>
    <row r="167" spans="26:26">
      <c r="Z167" s="1208"/>
    </row>
    <row r="168" spans="26:26">
      <c r="Z168" s="1208"/>
    </row>
    <row r="169" spans="26:26">
      <c r="Z169" s="1208"/>
    </row>
    <row r="170" spans="26:26">
      <c r="Z170" s="1208"/>
    </row>
    <row r="171" spans="26:26">
      <c r="Z171" s="1208"/>
    </row>
    <row r="172" spans="26:26">
      <c r="Z172" s="1208"/>
    </row>
    <row r="173" spans="26:26">
      <c r="Z173" s="1208"/>
    </row>
    <row r="174" spans="26:26">
      <c r="Z174" s="1208"/>
    </row>
    <row r="175" spans="26:26">
      <c r="Z175" s="1208"/>
    </row>
    <row r="176" spans="26:26">
      <c r="Z176" s="1208"/>
    </row>
    <row r="177" spans="26:26">
      <c r="Z177" s="1208"/>
    </row>
    <row r="178" spans="26:26">
      <c r="Z178" s="1208"/>
    </row>
    <row r="179" spans="26:26">
      <c r="Z179" s="1208"/>
    </row>
    <row r="180" spans="26:26">
      <c r="Z180" s="1208"/>
    </row>
    <row r="181" spans="26:26">
      <c r="Z181" s="1208"/>
    </row>
    <row r="182" spans="26:26">
      <c r="Z182" s="1208"/>
    </row>
    <row r="183" spans="26:26">
      <c r="Z183" s="1208"/>
    </row>
    <row r="184" spans="26:26">
      <c r="Z184" s="1208"/>
    </row>
    <row r="185" spans="26:26">
      <c r="Z185" s="1208"/>
    </row>
    <row r="186" spans="26:26">
      <c r="Z186" s="1208"/>
    </row>
    <row r="187" spans="26:26">
      <c r="Z187" s="1208"/>
    </row>
    <row r="188" spans="26:26">
      <c r="Z188" s="1208"/>
    </row>
    <row r="189" spans="26:26">
      <c r="Z189" s="1208"/>
    </row>
    <row r="190" spans="26:26">
      <c r="Z190" s="1208"/>
    </row>
    <row r="191" spans="26:26">
      <c r="Z191" s="1208"/>
    </row>
    <row r="192" spans="26:26">
      <c r="Z192" s="1208"/>
    </row>
    <row r="193" spans="26:26">
      <c r="Z193" s="1208"/>
    </row>
    <row r="194" spans="26:26">
      <c r="Z194" s="1208"/>
    </row>
    <row r="195" spans="26:26">
      <c r="Z195" s="1208"/>
    </row>
    <row r="196" spans="26:26">
      <c r="Z196" s="1208"/>
    </row>
    <row r="197" spans="26:26">
      <c r="Z197" s="1208"/>
    </row>
    <row r="198" spans="26:26">
      <c r="Z198" s="1208"/>
    </row>
    <row r="199" spans="26:26">
      <c r="Z199" s="1208"/>
    </row>
    <row r="200" spans="26:26">
      <c r="Z200" s="1208"/>
    </row>
    <row r="201" spans="26:26">
      <c r="Z201" s="1208"/>
    </row>
    <row r="202" spans="26:26">
      <c r="Z202" s="1208"/>
    </row>
    <row r="203" spans="26:26">
      <c r="Z203" s="1208"/>
    </row>
    <row r="204" spans="26:26">
      <c r="Z204" s="1208"/>
    </row>
    <row r="205" spans="26:26">
      <c r="Z205" s="1208"/>
    </row>
    <row r="206" spans="26:26">
      <c r="Z206" s="1208"/>
    </row>
    <row r="207" spans="26:26">
      <c r="Z207" s="1208"/>
    </row>
    <row r="208" spans="26:26">
      <c r="Z208" s="1208"/>
    </row>
    <row r="209" spans="26:26">
      <c r="Z209" s="1208"/>
    </row>
    <row r="210" spans="26:26">
      <c r="Z210" s="1208"/>
    </row>
    <row r="211" spans="26:26">
      <c r="Z211" s="1208"/>
    </row>
    <row r="212" spans="26:26">
      <c r="Z212" s="1208"/>
    </row>
    <row r="213" spans="26:26">
      <c r="Z213" s="1208"/>
    </row>
    <row r="214" spans="26:26">
      <c r="Z214" s="1208"/>
    </row>
    <row r="215" spans="26:26">
      <c r="Z215" s="1208"/>
    </row>
    <row r="216" spans="26:26">
      <c r="Z216" s="1208"/>
    </row>
    <row r="217" spans="26:26">
      <c r="Z217" s="1208"/>
    </row>
    <row r="218" spans="26:26">
      <c r="Z218" s="1208"/>
    </row>
    <row r="219" spans="26:26">
      <c r="Z219" s="1208"/>
    </row>
    <row r="220" spans="26:26">
      <c r="Z220" s="1208"/>
    </row>
    <row r="221" spans="26:26">
      <c r="Z221" s="1208"/>
    </row>
    <row r="222" spans="26:26">
      <c r="Z222" s="1208"/>
    </row>
    <row r="223" spans="26:26">
      <c r="Z223" s="1208"/>
    </row>
    <row r="224" spans="26:26">
      <c r="Z224" s="1208"/>
    </row>
    <row r="225" spans="26:26">
      <c r="Z225" s="1208"/>
    </row>
    <row r="226" spans="26:26">
      <c r="Z226" s="1208"/>
    </row>
    <row r="227" spans="26:26">
      <c r="Z227" s="1208"/>
    </row>
    <row r="228" spans="26:26">
      <c r="Z228" s="1208"/>
    </row>
    <row r="229" spans="26:26">
      <c r="Z229" s="1208"/>
    </row>
    <row r="230" spans="26:26">
      <c r="Z230" s="1208"/>
    </row>
    <row r="231" spans="26:26">
      <c r="Z231" s="1208"/>
    </row>
    <row r="232" spans="26:26">
      <c r="Z232" s="1208"/>
    </row>
    <row r="233" spans="26:26">
      <c r="Z233" s="1208"/>
    </row>
    <row r="234" spans="26:26">
      <c r="Z234" s="1208"/>
    </row>
    <row r="235" spans="26:26">
      <c r="Z235" s="1208"/>
    </row>
    <row r="236" spans="26:26">
      <c r="Z236" s="1208"/>
    </row>
    <row r="237" spans="26:26">
      <c r="Z237" s="1208"/>
    </row>
    <row r="238" spans="26:26">
      <c r="Z238" s="1208"/>
    </row>
    <row r="239" spans="26:26">
      <c r="Z239" s="1208"/>
    </row>
    <row r="240" spans="26:26">
      <c r="Z240" s="1208"/>
    </row>
    <row r="241" spans="26:26">
      <c r="Z241" s="1208"/>
    </row>
    <row r="242" spans="26:26">
      <c r="Z242" s="1208"/>
    </row>
    <row r="243" spans="26:26">
      <c r="Z243" s="1208"/>
    </row>
    <row r="244" spans="26:26">
      <c r="Z244" s="1208"/>
    </row>
    <row r="245" spans="26:26">
      <c r="Z245" s="1208"/>
    </row>
    <row r="246" spans="26:26">
      <c r="Z246" s="1208"/>
    </row>
    <row r="247" spans="26:26">
      <c r="Z247" s="1208"/>
    </row>
    <row r="248" spans="26:26">
      <c r="Z248" s="1208"/>
    </row>
    <row r="249" spans="26:26">
      <c r="Z249" s="1208"/>
    </row>
    <row r="250" spans="26:26">
      <c r="Z250" s="1208"/>
    </row>
    <row r="251" spans="26:26">
      <c r="Z251" s="1208"/>
    </row>
    <row r="252" spans="26:26">
      <c r="Z252" s="1208"/>
    </row>
    <row r="253" spans="26:26">
      <c r="Z253" s="1208"/>
    </row>
    <row r="254" spans="26:26">
      <c r="Z254" s="1208"/>
    </row>
    <row r="255" spans="26:26">
      <c r="Z255" s="1208"/>
    </row>
    <row r="256" spans="26:26">
      <c r="Z256" s="1208"/>
    </row>
    <row r="257" spans="26:26">
      <c r="Z257" s="1208"/>
    </row>
    <row r="258" spans="26:26">
      <c r="Z258" s="1208"/>
    </row>
    <row r="259" spans="26:26">
      <c r="Z259" s="1208"/>
    </row>
    <row r="260" spans="26:26">
      <c r="Z260" s="1208"/>
    </row>
    <row r="261" spans="26:26">
      <c r="Z261" s="1208"/>
    </row>
    <row r="262" spans="26:26">
      <c r="Z262" s="1208"/>
    </row>
    <row r="263" spans="26:26">
      <c r="Z263" s="1208"/>
    </row>
    <row r="264" spans="26:26">
      <c r="Z264" s="1208"/>
    </row>
    <row r="265" spans="26:26">
      <c r="Z265" s="1208"/>
    </row>
    <row r="266" spans="26:26">
      <c r="Z266" s="1208"/>
    </row>
    <row r="267" spans="26:26">
      <c r="Z267" s="1208"/>
    </row>
    <row r="268" spans="26:26">
      <c r="Z268" s="1208"/>
    </row>
    <row r="269" spans="26:26">
      <c r="Z269" s="1208"/>
    </row>
    <row r="270" spans="26:26">
      <c r="Z270" s="1208"/>
    </row>
    <row r="271" spans="26:26">
      <c r="Z271" s="1208"/>
    </row>
    <row r="272" spans="26:26">
      <c r="Z272" s="1208"/>
    </row>
    <row r="273" spans="26:26">
      <c r="Z273" s="1208"/>
    </row>
    <row r="274" spans="26:26">
      <c r="Z274" s="1208"/>
    </row>
    <row r="275" spans="26:26">
      <c r="Z275" s="1208"/>
    </row>
    <row r="276" spans="26:26">
      <c r="Z276" s="1208"/>
    </row>
    <row r="277" spans="26:26">
      <c r="Z277" s="1208"/>
    </row>
    <row r="278" spans="26:26">
      <c r="Z278" s="1208"/>
    </row>
    <row r="279" spans="26:26">
      <c r="Z279" s="1208"/>
    </row>
    <row r="280" spans="26:26">
      <c r="Z280" s="1208"/>
    </row>
    <row r="281" spans="26:26">
      <c r="Z281" s="1208"/>
    </row>
    <row r="282" spans="26:26">
      <c r="Z282" s="1208"/>
    </row>
    <row r="283" spans="26:26">
      <c r="Z283" s="1208"/>
    </row>
    <row r="284" spans="26:26">
      <c r="Z284" s="1208"/>
    </row>
    <row r="285" spans="26:26">
      <c r="Z285" s="1208"/>
    </row>
    <row r="286" spans="26:26">
      <c r="Z286" s="1208"/>
    </row>
    <row r="287" spans="26:26">
      <c r="Z287" s="1208"/>
    </row>
    <row r="288" spans="26:26">
      <c r="Z288" s="1208"/>
    </row>
    <row r="289" spans="26:26">
      <c r="Z289" s="1208"/>
    </row>
    <row r="290" spans="26:26">
      <c r="Z290" s="1208"/>
    </row>
    <row r="291" spans="26:26">
      <c r="Z291" s="1208"/>
    </row>
    <row r="292" spans="26:26">
      <c r="Z292" s="1208"/>
    </row>
    <row r="293" spans="26:26">
      <c r="Z293" s="1208"/>
    </row>
    <row r="294" spans="26:26">
      <c r="Z294" s="1208"/>
    </row>
    <row r="295" spans="26:26">
      <c r="Z295" s="1208"/>
    </row>
    <row r="296" spans="26:26">
      <c r="Z296" s="1208"/>
    </row>
    <row r="297" spans="26:26">
      <c r="Z297" s="1208"/>
    </row>
    <row r="298" spans="26:26">
      <c r="Z298" s="1208"/>
    </row>
    <row r="299" spans="26:26">
      <c r="Z299" s="1208"/>
    </row>
    <row r="300" spans="26:26">
      <c r="Z300" s="1208"/>
    </row>
    <row r="301" spans="26:26">
      <c r="Z301" s="1208"/>
    </row>
    <row r="302" spans="26:26">
      <c r="Z302" s="1208"/>
    </row>
    <row r="303" spans="26:26">
      <c r="Z303" s="1208"/>
    </row>
    <row r="304" spans="26:26">
      <c r="Z304" s="1208"/>
    </row>
    <row r="305" spans="26:26">
      <c r="Z305" s="1208"/>
    </row>
    <row r="306" spans="26:26">
      <c r="Z306" s="1208"/>
    </row>
    <row r="307" spans="26:26">
      <c r="Z307" s="1208"/>
    </row>
    <row r="308" spans="26:26">
      <c r="Z308" s="1208"/>
    </row>
    <row r="309" spans="26:26">
      <c r="Z309" s="1208"/>
    </row>
    <row r="310" spans="26:26">
      <c r="Z310" s="1208"/>
    </row>
    <row r="311" spans="26:26">
      <c r="Z311" s="1208"/>
    </row>
    <row r="312" spans="26:26">
      <c r="Z312" s="1208"/>
    </row>
    <row r="313" spans="26:26">
      <c r="Z313" s="1208"/>
    </row>
    <row r="314" spans="26:26">
      <c r="Z314" s="1208"/>
    </row>
    <row r="315" spans="26:26">
      <c r="Z315" s="1208"/>
    </row>
    <row r="316" spans="26:26">
      <c r="Z316" s="1208"/>
    </row>
    <row r="317" spans="26:26">
      <c r="Z317" s="1208"/>
    </row>
    <row r="318" spans="26:26">
      <c r="Z318" s="1208"/>
    </row>
    <row r="319" spans="26:26">
      <c r="Z319" s="1208"/>
    </row>
    <row r="320" spans="26:26">
      <c r="Z320" s="1208"/>
    </row>
    <row r="321" spans="26:26">
      <c r="Z321" s="1208"/>
    </row>
    <row r="322" spans="26:26">
      <c r="Z322" s="1208"/>
    </row>
    <row r="323" spans="26:26">
      <c r="Z323" s="1208"/>
    </row>
    <row r="324" spans="26:26">
      <c r="Z324" s="1208"/>
    </row>
    <row r="325" spans="26:26">
      <c r="Z325" s="1208"/>
    </row>
    <row r="326" spans="26:26">
      <c r="Z326" s="1208"/>
    </row>
    <row r="327" spans="26:26">
      <c r="Z327" s="1208"/>
    </row>
    <row r="328" spans="26:26">
      <c r="Z328" s="1208"/>
    </row>
    <row r="329" spans="26:26">
      <c r="Z329" s="1208"/>
    </row>
    <row r="330" spans="26:26">
      <c r="Z330" s="1208"/>
    </row>
    <row r="331" spans="26:26">
      <c r="Z331" s="1208"/>
    </row>
    <row r="332" spans="26:26">
      <c r="Z332" s="1208"/>
    </row>
    <row r="333" spans="26:26">
      <c r="Z333" s="1208"/>
    </row>
    <row r="334" spans="26:26">
      <c r="Z334" s="1208"/>
    </row>
    <row r="335" spans="26:26">
      <c r="Z335" s="1208"/>
    </row>
    <row r="336" spans="26:26">
      <c r="Z336" s="1208"/>
    </row>
    <row r="337" spans="26:26">
      <c r="Z337" s="1208"/>
    </row>
    <row r="338" spans="26:26">
      <c r="Z338" s="1208"/>
    </row>
    <row r="339" spans="26:26">
      <c r="Z339" s="1208"/>
    </row>
    <row r="340" spans="26:26">
      <c r="Z340" s="1208"/>
    </row>
    <row r="341" spans="26:26">
      <c r="Z341" s="1208"/>
    </row>
    <row r="342" spans="26:26">
      <c r="Z342" s="1208"/>
    </row>
    <row r="343" spans="26:26">
      <c r="Z343" s="1208"/>
    </row>
    <row r="344" spans="26:26">
      <c r="Z344" s="1208"/>
    </row>
    <row r="345" spans="26:26">
      <c r="Z345" s="1208"/>
    </row>
    <row r="346" spans="26:26">
      <c r="Z346" s="1208"/>
    </row>
    <row r="347" spans="26:26">
      <c r="Z347" s="1208"/>
    </row>
    <row r="348" spans="26:26">
      <c r="Z348" s="1208"/>
    </row>
    <row r="349" spans="26:26">
      <c r="Z349" s="1208"/>
    </row>
    <row r="350" spans="26:26">
      <c r="Z350" s="1208"/>
    </row>
    <row r="351" spans="26:26">
      <c r="Z351" s="1208"/>
    </row>
    <row r="352" spans="26:26">
      <c r="Z352" s="1208"/>
    </row>
    <row r="353" spans="26:26">
      <c r="Z353" s="1208"/>
    </row>
    <row r="354" spans="26:26">
      <c r="Z354" s="1208"/>
    </row>
    <row r="355" spans="26:26">
      <c r="Z355" s="1208"/>
    </row>
    <row r="356" spans="26:26">
      <c r="Z356" s="1208"/>
    </row>
    <row r="357" spans="26:26">
      <c r="Z357" s="1208"/>
    </row>
    <row r="358" spans="26:26">
      <c r="Z358" s="1208"/>
    </row>
    <row r="359" spans="26:26">
      <c r="Z359" s="1208"/>
    </row>
    <row r="360" spans="26:26">
      <c r="Z360" s="1208"/>
    </row>
    <row r="361" spans="26:26">
      <c r="Z361" s="1208"/>
    </row>
    <row r="362" spans="26:26">
      <c r="Z362" s="1208"/>
    </row>
    <row r="363" spans="26:26">
      <c r="Z363" s="1208"/>
    </row>
    <row r="364" spans="26:26">
      <c r="Z364" s="1208"/>
    </row>
    <row r="365" spans="26:26">
      <c r="Z365" s="1208"/>
    </row>
    <row r="366" spans="26:26">
      <c r="Z366" s="1208"/>
    </row>
    <row r="367" spans="26:26">
      <c r="Z367" s="1208"/>
    </row>
    <row r="368" spans="26:26">
      <c r="Z368" s="1208"/>
    </row>
    <row r="369" spans="26:26">
      <c r="Z369" s="1208"/>
    </row>
    <row r="370" spans="26:26">
      <c r="Z370" s="1208"/>
    </row>
    <row r="371" spans="26:26">
      <c r="Z371" s="1208"/>
    </row>
    <row r="372" spans="26:26">
      <c r="Z372" s="1208"/>
    </row>
    <row r="373" spans="26:26">
      <c r="Z373" s="1208"/>
    </row>
    <row r="374" spans="26:26">
      <c r="Z374" s="1208"/>
    </row>
    <row r="375" spans="26:26">
      <c r="Z375" s="1208"/>
    </row>
    <row r="376" spans="26:26">
      <c r="Z376" s="1208"/>
    </row>
    <row r="377" spans="26:26">
      <c r="Z377" s="1208"/>
    </row>
    <row r="378" spans="26:26">
      <c r="Z378" s="1208"/>
    </row>
    <row r="379" spans="26:26">
      <c r="Z379" s="1208"/>
    </row>
    <row r="380" spans="26:26">
      <c r="Z380" s="1208"/>
    </row>
    <row r="381" spans="26:26">
      <c r="Z381" s="1208"/>
    </row>
    <row r="382" spans="26:26">
      <c r="Z382" s="1208"/>
    </row>
    <row r="383" spans="26:26">
      <c r="Z383" s="1208"/>
    </row>
    <row r="384" spans="26:26">
      <c r="Z384" s="1208"/>
    </row>
    <row r="385" spans="26:26">
      <c r="Z385" s="1208"/>
    </row>
    <row r="386" spans="26:26">
      <c r="Z386" s="1208"/>
    </row>
    <row r="387" spans="26:26">
      <c r="Z387" s="1208"/>
    </row>
    <row r="388" spans="26:26">
      <c r="Z388" s="1208"/>
    </row>
    <row r="389" spans="26:26">
      <c r="Z389" s="1208"/>
    </row>
    <row r="390" spans="26:26">
      <c r="Z390" s="1208"/>
    </row>
    <row r="391" spans="26:26">
      <c r="Z391" s="1208"/>
    </row>
    <row r="392" spans="26:26">
      <c r="Z392" s="1208"/>
    </row>
    <row r="393" spans="26:26">
      <c r="Z393" s="1208"/>
    </row>
    <row r="394" spans="26:26">
      <c r="Z394" s="1208"/>
    </row>
    <row r="395" spans="26:26">
      <c r="Z395" s="1208"/>
    </row>
    <row r="396" spans="26:26">
      <c r="Z396" s="1208"/>
    </row>
    <row r="397" spans="26:26">
      <c r="Z397" s="1208"/>
    </row>
    <row r="398" spans="26:26">
      <c r="Z398" s="1208"/>
    </row>
    <row r="399" spans="26:26">
      <c r="Z399" s="1208"/>
    </row>
    <row r="400" spans="26:26">
      <c r="Z400" s="1208"/>
    </row>
    <row r="401" spans="26:26">
      <c r="Z401" s="1208"/>
    </row>
    <row r="402" spans="26:26">
      <c r="Z402" s="1208"/>
    </row>
    <row r="403" spans="26:26">
      <c r="Z403" s="1208"/>
    </row>
    <row r="404" spans="26:26">
      <c r="Z404" s="1208"/>
    </row>
    <row r="405" spans="26:26">
      <c r="Z405" s="1208"/>
    </row>
    <row r="406" spans="26:26">
      <c r="Z406" s="1208"/>
    </row>
    <row r="407" spans="26:26">
      <c r="Z407" s="1208"/>
    </row>
    <row r="408" spans="26:26">
      <c r="Z408" s="1208"/>
    </row>
    <row r="409" spans="26:26">
      <c r="Z409" s="1208"/>
    </row>
    <row r="410" spans="26:26">
      <c r="Z410" s="1208"/>
    </row>
    <row r="411" spans="26:26">
      <c r="Z411" s="1208"/>
    </row>
    <row r="412" spans="26:26">
      <c r="Z412" s="1208"/>
    </row>
    <row r="413" spans="26:26">
      <c r="Z413" s="1208"/>
    </row>
    <row r="414" spans="26:26">
      <c r="Z414" s="1208"/>
    </row>
    <row r="415" spans="26:26">
      <c r="Z415" s="1208"/>
    </row>
    <row r="416" spans="26:26">
      <c r="Z416" s="1208"/>
    </row>
    <row r="417" spans="26:26">
      <c r="Z417" s="1208"/>
    </row>
    <row r="418" spans="26:26">
      <c r="Z418" s="1208"/>
    </row>
    <row r="419" spans="26:26">
      <c r="Z419" s="1208"/>
    </row>
    <row r="420" spans="26:26">
      <c r="Z420" s="1208"/>
    </row>
    <row r="421" spans="26:26">
      <c r="Z421" s="1208"/>
    </row>
    <row r="422" spans="26:26">
      <c r="Z422" s="1208"/>
    </row>
    <row r="423" spans="26:26">
      <c r="Z423" s="1208"/>
    </row>
    <row r="424" spans="26:26">
      <c r="Z424" s="1208"/>
    </row>
    <row r="425" spans="26:26">
      <c r="Z425" s="1208"/>
    </row>
    <row r="426" spans="26:26">
      <c r="Z426" s="1208"/>
    </row>
    <row r="427" spans="26:26">
      <c r="Z427" s="1208"/>
    </row>
    <row r="428" spans="26:26">
      <c r="Z428" s="1208"/>
    </row>
    <row r="429" spans="26:26">
      <c r="Z429" s="1208"/>
    </row>
    <row r="430" spans="26:26">
      <c r="Z430" s="1208"/>
    </row>
    <row r="431" spans="26:26">
      <c r="Z431" s="1208"/>
    </row>
    <row r="432" spans="26:26">
      <c r="Z432" s="1208"/>
    </row>
    <row r="433" spans="26:26">
      <c r="Z433" s="1208"/>
    </row>
    <row r="434" spans="26:26">
      <c r="Z434" s="1208"/>
    </row>
    <row r="435" spans="26:26">
      <c r="Z435" s="1208"/>
    </row>
    <row r="436" spans="26:26">
      <c r="Z436" s="1208"/>
    </row>
    <row r="437" spans="26:26">
      <c r="Z437" s="1208"/>
    </row>
    <row r="438" spans="26:26">
      <c r="Z438" s="1208"/>
    </row>
    <row r="439" spans="26:26">
      <c r="Z439" s="1208"/>
    </row>
    <row r="440" spans="26:26">
      <c r="Z440" s="1208"/>
    </row>
    <row r="441" spans="26:26">
      <c r="Z441" s="1208"/>
    </row>
    <row r="442" spans="26:26">
      <c r="Z442" s="1208"/>
    </row>
    <row r="443" spans="26:26">
      <c r="Z443" s="1208"/>
    </row>
    <row r="444" spans="26:26">
      <c r="Z444" s="1208"/>
    </row>
    <row r="445" spans="26:26">
      <c r="Z445" s="1208"/>
    </row>
    <row r="446" spans="26:26">
      <c r="Z446" s="1208"/>
    </row>
    <row r="447" spans="26:26">
      <c r="Z447" s="1208"/>
    </row>
    <row r="448" spans="26:26">
      <c r="Z448" s="1208"/>
    </row>
    <row r="449" spans="26:26">
      <c r="Z449" s="1208"/>
    </row>
    <row r="450" spans="26:26">
      <c r="Z450" s="1208"/>
    </row>
    <row r="451" spans="26:26">
      <c r="Z451" s="1208"/>
    </row>
    <row r="452" spans="26:26">
      <c r="Z452" s="1208"/>
    </row>
    <row r="453" spans="26:26">
      <c r="Z453" s="1208"/>
    </row>
    <row r="454" spans="26:26">
      <c r="Z454" s="1208"/>
    </row>
    <row r="455" spans="26:26">
      <c r="Z455" s="1208"/>
    </row>
    <row r="456" spans="26:26">
      <c r="Z456" s="1208"/>
    </row>
    <row r="457" spans="26:26">
      <c r="Z457" s="1208"/>
    </row>
    <row r="458" spans="26:26">
      <c r="Z458" s="1208"/>
    </row>
    <row r="459" spans="26:26">
      <c r="Z459" s="1208"/>
    </row>
    <row r="460" spans="26:26">
      <c r="Z460" s="1208"/>
    </row>
    <row r="461" spans="26:26">
      <c r="Z461" s="1208"/>
    </row>
    <row r="462" spans="26:26">
      <c r="Z462" s="1208"/>
    </row>
    <row r="463" spans="26:26">
      <c r="Z463" s="1208"/>
    </row>
    <row r="464" spans="26:26">
      <c r="Z464" s="1208"/>
    </row>
    <row r="465" spans="26:26">
      <c r="Z465" s="1208"/>
    </row>
    <row r="466" spans="26:26">
      <c r="Z466" s="1208"/>
    </row>
    <row r="467" spans="26:26">
      <c r="Z467" s="1208"/>
    </row>
    <row r="468" spans="26:26">
      <c r="Z468" s="1208"/>
    </row>
    <row r="469" spans="26:26">
      <c r="Z469" s="1208"/>
    </row>
    <row r="470" spans="26:26">
      <c r="Z470" s="1208"/>
    </row>
    <row r="471" spans="26:26">
      <c r="Z471" s="1208"/>
    </row>
    <row r="472" spans="26:26">
      <c r="Z472" s="1208"/>
    </row>
    <row r="473" spans="26:26">
      <c r="Z473" s="1208"/>
    </row>
    <row r="474" spans="26:26">
      <c r="Z474" s="1208"/>
    </row>
    <row r="475" spans="26:26">
      <c r="Z475" s="1208"/>
    </row>
    <row r="476" spans="26:26">
      <c r="Z476" s="1208"/>
    </row>
    <row r="477" spans="26:26">
      <c r="Z477" s="1208"/>
    </row>
    <row r="478" spans="26:26">
      <c r="Z478" s="1208"/>
    </row>
    <row r="479" spans="26:26">
      <c r="Z479" s="1208"/>
    </row>
    <row r="480" spans="26:26">
      <c r="Z480" s="1208"/>
    </row>
    <row r="481" spans="26:26">
      <c r="Z481" s="1208"/>
    </row>
    <row r="482" spans="26:26">
      <c r="Z482" s="1208"/>
    </row>
    <row r="483" spans="26:26">
      <c r="Z483" s="1208"/>
    </row>
    <row r="484" spans="26:26">
      <c r="Z484" s="1208"/>
    </row>
    <row r="485" spans="26:26">
      <c r="Z485" s="1208"/>
    </row>
    <row r="486" spans="26:26">
      <c r="Z486" s="1208"/>
    </row>
    <row r="487" spans="26:26">
      <c r="Z487" s="1208"/>
    </row>
    <row r="488" spans="26:26">
      <c r="Z488" s="1208"/>
    </row>
    <row r="489" spans="26:26">
      <c r="Z489" s="1208"/>
    </row>
    <row r="490" spans="26:26">
      <c r="Z490" s="1208"/>
    </row>
    <row r="491" spans="26:26">
      <c r="Z491" s="1208"/>
    </row>
    <row r="492" spans="26:26">
      <c r="Z492" s="1208"/>
    </row>
    <row r="493" spans="26:26">
      <c r="Z493" s="1208"/>
    </row>
    <row r="494" spans="26:26">
      <c r="Z494" s="1208"/>
    </row>
    <row r="495" spans="26:26">
      <c r="Z495" s="1208"/>
    </row>
    <row r="496" spans="26:26">
      <c r="Z496" s="1208"/>
    </row>
    <row r="497" spans="26:26">
      <c r="Z497" s="1208"/>
    </row>
    <row r="498" spans="26:26">
      <c r="Z498" s="1208"/>
    </row>
    <row r="499" spans="26:26">
      <c r="Z499" s="1208"/>
    </row>
    <row r="500" spans="26:26">
      <c r="Z500" s="1208"/>
    </row>
    <row r="501" spans="26:26">
      <c r="Z501" s="1208"/>
    </row>
    <row r="502" spans="26:26">
      <c r="Z502" s="1208"/>
    </row>
    <row r="503" spans="26:26">
      <c r="Z503" s="1208"/>
    </row>
  </sheetData>
  <sheetProtection algorithmName="SHA-512" hashValue="6/Z3+TG3rpv40PCU/GurKlkGHfnQUbeyhsGKTgk5+ulsem8yJEhdrOjrITMeNhm73NuHwyI7moJjHOrDIfw0gg==" saltValue="53w2hzOlm/kGfK5r878ZxQ==" spinCount="100000" sheet="1" objects="1" scenarios="1"/>
  <mergeCells count="143">
    <mergeCell ref="A51:F51"/>
    <mergeCell ref="G51:O51"/>
    <mergeCell ref="P51:U51"/>
    <mergeCell ref="V51:X51"/>
    <mergeCell ref="A52:X52"/>
    <mergeCell ref="A53:X53"/>
    <mergeCell ref="A49:F49"/>
    <mergeCell ref="G49:O49"/>
    <mergeCell ref="P49:U49"/>
    <mergeCell ref="V49:X49"/>
    <mergeCell ref="A50:F50"/>
    <mergeCell ref="G50:O50"/>
    <mergeCell ref="P50:U50"/>
    <mergeCell ref="V50:X50"/>
    <mergeCell ref="A46:E46"/>
    <mergeCell ref="F46:X46"/>
    <mergeCell ref="A47:X47"/>
    <mergeCell ref="A48:F48"/>
    <mergeCell ref="G48:O48"/>
    <mergeCell ref="P48:U48"/>
    <mergeCell ref="V48:X48"/>
    <mergeCell ref="T39:W39"/>
    <mergeCell ref="O42:Q42"/>
    <mergeCell ref="T42:W42"/>
    <mergeCell ref="A44:N44"/>
    <mergeCell ref="O44:Q44"/>
    <mergeCell ref="R44:S44"/>
    <mergeCell ref="T44:W44"/>
    <mergeCell ref="T41:W41"/>
    <mergeCell ref="A41:F42"/>
    <mergeCell ref="G41:L41"/>
    <mergeCell ref="M41:Q41"/>
    <mergeCell ref="G42:L42"/>
    <mergeCell ref="A40:Q40"/>
    <mergeCell ref="R41:S42"/>
    <mergeCell ref="A43:Q43"/>
    <mergeCell ref="A36:N36"/>
    <mergeCell ref="O36:Q36"/>
    <mergeCell ref="R36:S36"/>
    <mergeCell ref="A38:Q38"/>
    <mergeCell ref="A39:N39"/>
    <mergeCell ref="O39:Q39"/>
    <mergeCell ref="R39:S39"/>
    <mergeCell ref="A34:N34"/>
    <mergeCell ref="O34:Q34"/>
    <mergeCell ref="R34:S35"/>
    <mergeCell ref="T34:W34"/>
    <mergeCell ref="A35:N35"/>
    <mergeCell ref="O35:Q35"/>
    <mergeCell ref="T35:W35"/>
    <mergeCell ref="A32:J33"/>
    <mergeCell ref="K32:N32"/>
    <mergeCell ref="O32:Q32"/>
    <mergeCell ref="R32:S33"/>
    <mergeCell ref="T32:W32"/>
    <mergeCell ref="K33:N33"/>
    <mergeCell ref="O33:Q33"/>
    <mergeCell ref="T33:W33"/>
    <mergeCell ref="A30:N30"/>
    <mergeCell ref="O30:Q30"/>
    <mergeCell ref="R30:S30"/>
    <mergeCell ref="T30:W30"/>
    <mergeCell ref="A31:N31"/>
    <mergeCell ref="O31:Q31"/>
    <mergeCell ref="R31:S31"/>
    <mergeCell ref="T31:W31"/>
    <mergeCell ref="A28:N28"/>
    <mergeCell ref="O28:Q28"/>
    <mergeCell ref="R28:S28"/>
    <mergeCell ref="T28:W28"/>
    <mergeCell ref="A29:N29"/>
    <mergeCell ref="O29:Q29"/>
    <mergeCell ref="R29:S29"/>
    <mergeCell ref="T29:W29"/>
    <mergeCell ref="A26:N26"/>
    <mergeCell ref="O26:Q26"/>
    <mergeCell ref="R26:S26"/>
    <mergeCell ref="T26:W26"/>
    <mergeCell ref="A27:N27"/>
    <mergeCell ref="O27:Q27"/>
    <mergeCell ref="R27:S27"/>
    <mergeCell ref="T27:W27"/>
    <mergeCell ref="A23:Q23"/>
    <mergeCell ref="A24:N24"/>
    <mergeCell ref="O24:Q24"/>
    <mergeCell ref="R24:S24"/>
    <mergeCell ref="T24:W24"/>
    <mergeCell ref="A25:Q25"/>
    <mergeCell ref="A21:D22"/>
    <mergeCell ref="E21:N21"/>
    <mergeCell ref="O21:Q21"/>
    <mergeCell ref="R21:S22"/>
    <mergeCell ref="T21:W21"/>
    <mergeCell ref="E22:N22"/>
    <mergeCell ref="O22:Q22"/>
    <mergeCell ref="T22:W22"/>
    <mergeCell ref="A18:Q18"/>
    <mergeCell ref="A19:N19"/>
    <mergeCell ref="O19:Q19"/>
    <mergeCell ref="R19:S19"/>
    <mergeCell ref="T19:W19"/>
    <mergeCell ref="A20:N20"/>
    <mergeCell ref="O20:Q20"/>
    <mergeCell ref="R20:S20"/>
    <mergeCell ref="T20:W20"/>
    <mergeCell ref="A15:Q15"/>
    <mergeCell ref="U15:X15"/>
    <mergeCell ref="A16:Q16"/>
    <mergeCell ref="T16:W16"/>
    <mergeCell ref="T17:W17"/>
    <mergeCell ref="A12:W12"/>
    <mergeCell ref="A13:Q13"/>
    <mergeCell ref="R13:S13"/>
    <mergeCell ref="T13:W13"/>
    <mergeCell ref="A14:N14"/>
    <mergeCell ref="O14:Q14"/>
    <mergeCell ref="R14:S14"/>
    <mergeCell ref="T14:W14"/>
    <mergeCell ref="A17:Q17"/>
    <mergeCell ref="R16:S17"/>
    <mergeCell ref="A1:G5"/>
    <mergeCell ref="H1:X1"/>
    <mergeCell ref="H2:X2"/>
    <mergeCell ref="H3:X3"/>
    <mergeCell ref="H4:T4"/>
    <mergeCell ref="U4:X4"/>
    <mergeCell ref="H5:X5"/>
    <mergeCell ref="A9:C9"/>
    <mergeCell ref="D9:I9"/>
    <mergeCell ref="J9:M9"/>
    <mergeCell ref="N9:T9"/>
    <mergeCell ref="U9:W9"/>
    <mergeCell ref="A10:C10"/>
    <mergeCell ref="D10:T10"/>
    <mergeCell ref="U10:W10"/>
    <mergeCell ref="A7:C7"/>
    <mergeCell ref="D7:T7"/>
    <mergeCell ref="U7:W7"/>
    <mergeCell ref="A8:C8"/>
    <mergeCell ref="D8:I8"/>
    <mergeCell ref="J8:M8"/>
    <mergeCell ref="N8:T8"/>
    <mergeCell ref="U8:W8"/>
  </mergeCells>
  <dataValidations count="2">
    <dataValidation type="list" allowBlank="1" showInputMessage="1" showErrorMessage="1" sqref="X12">
      <formula1>$AB$2:$AB$3</formula1>
    </dataValidation>
    <dataValidation type="list" allowBlank="1" showInputMessage="1" showErrorMessage="1" sqref="D8:I8">
      <formula1>$AA$2</formula1>
    </dataValidation>
  </dataValidation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www.umv.gov.co111311&amp;C&amp;6GLAB-FM-045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V50:X50</xm:sqref>
        </x14:dataValidation>
        <x14:dataValidation type="list" allowBlank="1" showInputMessage="1" showErrorMessage="1">
          <x14:formula1>
            <xm:f>firmas!$A$2:$A$31</xm:f>
          </x14:formula1>
          <xm:sqref>G50:O50</xm:sqref>
        </x14:dataValidation>
        <x14:dataValidation type="list" allowBlank="1" showInputMessage="1" showErrorMessage="1">
          <x14:formula1>
            <xm:f>firmas!$A$33:$A$35</xm:f>
          </x14:formula1>
          <xm:sqref>P50:U50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74"/>
  <sheetViews>
    <sheetView showGridLines="0" view="pageBreakPreview" zoomScaleSheetLayoutView="100" workbookViewId="0">
      <selection activeCell="E17" sqref="E17:X17"/>
    </sheetView>
  </sheetViews>
  <sheetFormatPr baseColWidth="10" defaultColWidth="9.140625" defaultRowHeight="12.75"/>
  <cols>
    <col min="1" max="1" width="2.7109375" style="229" customWidth="1"/>
    <col min="2" max="2" width="15.140625" style="229" customWidth="1"/>
    <col min="3" max="12" width="8.28515625" style="229" customWidth="1"/>
    <col min="13" max="13" width="9.140625" style="873" customWidth="1"/>
    <col min="14" max="14" width="26" style="874" customWidth="1"/>
    <col min="15" max="15" width="17.42578125" style="874" customWidth="1"/>
    <col min="16" max="16" width="9.140625" style="874" customWidth="1"/>
    <col min="17" max="17" width="3.5703125" style="874" customWidth="1"/>
    <col min="18" max="18" width="13.7109375" style="874" bestFit="1" customWidth="1"/>
    <col min="19" max="19" width="27.85546875" style="873" bestFit="1" customWidth="1"/>
    <col min="20" max="20" width="8.140625" style="229" bestFit="1" customWidth="1"/>
    <col min="21" max="16384" width="9.140625" style="229"/>
  </cols>
  <sheetData>
    <row r="1" spans="1:24" ht="15" customHeight="1">
      <c r="A1" s="871"/>
      <c r="B1" s="872"/>
      <c r="C1" s="2986" t="s">
        <v>163</v>
      </c>
      <c r="D1" s="2987"/>
      <c r="E1" s="2987"/>
      <c r="F1" s="2987"/>
      <c r="G1" s="2987"/>
      <c r="H1" s="2987"/>
      <c r="I1" s="2987"/>
      <c r="J1" s="2987"/>
      <c r="K1" s="2987"/>
      <c r="L1" s="2988"/>
    </row>
    <row r="2" spans="1:24" ht="15" customHeight="1">
      <c r="A2" s="875"/>
      <c r="B2" s="876"/>
      <c r="C2" s="2989" t="s">
        <v>614</v>
      </c>
      <c r="D2" s="2990"/>
      <c r="E2" s="2990"/>
      <c r="F2" s="2990"/>
      <c r="G2" s="2990"/>
      <c r="H2" s="2990"/>
      <c r="I2" s="2990"/>
      <c r="J2" s="2990"/>
      <c r="K2" s="2990"/>
      <c r="L2" s="2991"/>
    </row>
    <row r="3" spans="1:24" ht="15" customHeight="1">
      <c r="A3" s="875"/>
      <c r="B3" s="876"/>
      <c r="C3" s="2992" t="s">
        <v>589</v>
      </c>
      <c r="D3" s="2993"/>
      <c r="E3" s="2993"/>
      <c r="F3" s="2993"/>
      <c r="G3" s="2993"/>
      <c r="H3" s="2993"/>
      <c r="I3" s="2993"/>
      <c r="J3" s="2993"/>
      <c r="K3" s="2993"/>
      <c r="L3" s="2994"/>
    </row>
    <row r="4" spans="1:24" ht="12.95" customHeight="1">
      <c r="A4" s="875"/>
      <c r="B4" s="876"/>
      <c r="C4" s="2985" t="s">
        <v>812</v>
      </c>
      <c r="D4" s="2985"/>
      <c r="E4" s="2985"/>
      <c r="F4" s="2985"/>
      <c r="G4" s="2985"/>
      <c r="H4" s="2985"/>
      <c r="I4" s="2985"/>
      <c r="J4" s="2985" t="s">
        <v>811</v>
      </c>
      <c r="K4" s="2985"/>
      <c r="L4" s="2985"/>
    </row>
    <row r="5" spans="1:24" ht="12.95" customHeight="1">
      <c r="A5" s="875"/>
      <c r="B5" s="876"/>
      <c r="C5" s="2985" t="s">
        <v>801</v>
      </c>
      <c r="D5" s="2985"/>
      <c r="E5" s="2985"/>
      <c r="F5" s="2985"/>
      <c r="G5" s="2985"/>
      <c r="H5" s="2985"/>
      <c r="I5" s="2985"/>
      <c r="J5" s="2985"/>
      <c r="K5" s="2985"/>
      <c r="L5" s="2985"/>
    </row>
    <row r="6" spans="1:24" ht="14.1" customHeight="1">
      <c r="A6" s="2391" t="s">
        <v>5</v>
      </c>
      <c r="B6" s="2392"/>
      <c r="C6" s="1371"/>
      <c r="D6" s="3000" t="str">
        <f>+IF('Gradacion '!E6="","",'Gradacion '!E6)</f>
        <v/>
      </c>
      <c r="E6" s="3000"/>
      <c r="F6" s="3000"/>
      <c r="G6" s="3000"/>
      <c r="H6" s="3000"/>
      <c r="I6" s="2394" t="s">
        <v>324</v>
      </c>
      <c r="J6" s="2394"/>
      <c r="K6" s="2995"/>
      <c r="L6" s="2996"/>
    </row>
    <row r="7" spans="1:24" ht="14.1" customHeight="1">
      <c r="A7" s="2396" t="s">
        <v>615</v>
      </c>
      <c r="B7" s="2397"/>
      <c r="C7" s="2397"/>
      <c r="D7" s="2997" t="str">
        <f>+IF(D6="","","N/A")</f>
        <v/>
      </c>
      <c r="E7" s="2997"/>
      <c r="F7" s="2997"/>
      <c r="G7" s="2997"/>
      <c r="H7" s="2997"/>
      <c r="I7" s="1372" t="s">
        <v>617</v>
      </c>
      <c r="J7" s="1372"/>
      <c r="K7" s="2998" t="str">
        <f>+IF(D6="","","N/A")</f>
        <v/>
      </c>
      <c r="L7" s="2999"/>
    </row>
    <row r="8" spans="1:24" ht="14.1" customHeight="1">
      <c r="A8" s="2396" t="s">
        <v>616</v>
      </c>
      <c r="B8" s="2397"/>
      <c r="C8" s="2397"/>
      <c r="D8" s="2997" t="str">
        <f>+IF('Gradacion '!O7="","",'Gradacion '!O7)</f>
        <v/>
      </c>
      <c r="E8" s="2997"/>
      <c r="F8" s="2997"/>
      <c r="G8" s="2997"/>
      <c r="H8" s="2997"/>
      <c r="I8" s="2397" t="s">
        <v>618</v>
      </c>
      <c r="J8" s="2397"/>
      <c r="K8" s="3064" t="str">
        <f>+IF(D6="","","N/A")</f>
        <v/>
      </c>
      <c r="L8" s="3065"/>
    </row>
    <row r="9" spans="1:24" ht="14.1" customHeight="1">
      <c r="A9" s="2396" t="s">
        <v>465</v>
      </c>
      <c r="B9" s="2397"/>
      <c r="C9" s="2397"/>
      <c r="D9" s="2997" t="str">
        <f>+IF('Gradacion '!E8="","",'Gradacion '!E8)</f>
        <v/>
      </c>
      <c r="E9" s="2997"/>
      <c r="F9" s="2997"/>
      <c r="G9" s="2997"/>
      <c r="H9" s="2997"/>
      <c r="I9" s="2397" t="s">
        <v>637</v>
      </c>
      <c r="J9" s="2397"/>
      <c r="K9" s="3064" t="str">
        <f>+IF(D6="","","N/A")</f>
        <v/>
      </c>
      <c r="L9" s="3065"/>
    </row>
    <row r="10" spans="1:24" ht="14.1" customHeight="1">
      <c r="A10" s="3002" t="s">
        <v>6</v>
      </c>
      <c r="B10" s="2409"/>
      <c r="C10" s="2409"/>
      <c r="D10" s="3003" t="str">
        <f>+IF('Gradacion '!E9="","",'Gradacion '!E9)</f>
        <v/>
      </c>
      <c r="E10" s="3003"/>
      <c r="F10" s="3003"/>
      <c r="G10" s="3003"/>
      <c r="H10" s="3003"/>
      <c r="I10" s="1373" t="s">
        <v>40</v>
      </c>
      <c r="J10" s="1373"/>
      <c r="K10" s="3004" t="str">
        <f>+IF('Gradacion '!AB7="","",'Gradacion '!AB7)</f>
        <v/>
      </c>
      <c r="L10" s="3005"/>
    </row>
    <row r="11" spans="1:24" ht="14.1" customHeight="1">
      <c r="A11" s="3002"/>
      <c r="B11" s="2409"/>
      <c r="C11" s="2409"/>
      <c r="D11" s="3003"/>
      <c r="E11" s="3003"/>
      <c r="F11" s="3003"/>
      <c r="G11" s="3003"/>
      <c r="H11" s="3003"/>
      <c r="I11" s="2409" t="s">
        <v>627</v>
      </c>
      <c r="J11" s="2409"/>
      <c r="K11" s="3006"/>
      <c r="L11" s="3007"/>
      <c r="N11" s="868" t="s">
        <v>619</v>
      </c>
      <c r="O11" s="874" t="s">
        <v>53</v>
      </c>
    </row>
    <row r="12" spans="1:24" ht="14.1" customHeight="1">
      <c r="A12" s="2396" t="s">
        <v>620</v>
      </c>
      <c r="B12" s="2397"/>
      <c r="C12" s="2397"/>
      <c r="D12" s="3011" t="str">
        <f>+IF(D6="","","N/A")</f>
        <v/>
      </c>
      <c r="E12" s="3011"/>
      <c r="F12" s="1372" t="s">
        <v>19</v>
      </c>
      <c r="G12" s="3011" t="str">
        <f>+IF('Gradacion '!O8="","",'Gradacion '!O8)</f>
        <v/>
      </c>
      <c r="H12" s="3011"/>
      <c r="I12" s="2409" t="s">
        <v>633</v>
      </c>
      <c r="J12" s="2409"/>
      <c r="K12" s="3004" t="str">
        <f>+IF('Gradacion '!AB9="","",'Gradacion '!AB9)</f>
        <v/>
      </c>
      <c r="L12" s="3005"/>
      <c r="N12" s="927" t="s">
        <v>601</v>
      </c>
      <c r="O12" s="874" t="s">
        <v>54</v>
      </c>
    </row>
    <row r="13" spans="1:24" s="878" customFormat="1" ht="17.100000000000001" customHeight="1">
      <c r="A13" s="3008"/>
      <c r="B13" s="3009"/>
      <c r="C13" s="3009"/>
      <c r="D13" s="3009"/>
      <c r="E13" s="3009"/>
      <c r="F13" s="3009"/>
      <c r="G13" s="3009"/>
      <c r="H13" s="3009"/>
      <c r="I13" s="3009"/>
      <c r="J13" s="3009"/>
      <c r="K13" s="3009"/>
      <c r="L13" s="3010"/>
      <c r="M13" s="877"/>
      <c r="N13" s="877"/>
      <c r="O13" s="877"/>
      <c r="P13" s="877"/>
      <c r="Q13" s="877"/>
      <c r="R13" s="877"/>
      <c r="S13" s="877"/>
    </row>
    <row r="14" spans="1:24">
      <c r="A14" s="875"/>
      <c r="B14" s="607"/>
      <c r="C14" s="3001" t="s">
        <v>164</v>
      </c>
      <c r="D14" s="3001"/>
      <c r="E14" s="3001"/>
      <c r="F14" s="3001"/>
      <c r="G14" s="3001"/>
      <c r="H14" s="3001"/>
      <c r="I14" s="879"/>
      <c r="J14" s="603"/>
      <c r="K14" s="603"/>
      <c r="L14" s="944"/>
      <c r="M14" s="880"/>
      <c r="N14" s="881"/>
      <c r="O14" s="881"/>
      <c r="P14" s="881"/>
      <c r="Q14" s="882"/>
      <c r="R14" s="882"/>
      <c r="S14" s="883"/>
      <c r="T14" s="230"/>
      <c r="U14" s="231"/>
      <c r="V14" s="231"/>
      <c r="W14" s="231"/>
      <c r="X14" s="231"/>
    </row>
    <row r="15" spans="1:24" s="231" customFormat="1" ht="23.25" customHeight="1">
      <c r="A15" s="875"/>
      <c r="B15" s="607"/>
      <c r="C15" s="3021" t="s">
        <v>388</v>
      </c>
      <c r="D15" s="3021"/>
      <c r="E15" s="3021"/>
      <c r="F15" s="3021"/>
      <c r="G15" s="3021"/>
      <c r="H15" s="3021"/>
      <c r="I15" s="928"/>
      <c r="J15" s="604"/>
      <c r="K15" s="604"/>
      <c r="L15" s="945"/>
      <c r="M15" s="884"/>
      <c r="N15" s="881"/>
      <c r="O15" s="881"/>
      <c r="P15" s="881"/>
      <c r="Q15" s="882"/>
      <c r="R15" s="882"/>
      <c r="S15" s="607"/>
      <c r="T15" s="232"/>
      <c r="U15" s="232"/>
      <c r="V15" s="232"/>
      <c r="W15" s="232"/>
    </row>
    <row r="16" spans="1:24" s="231" customFormat="1" ht="15" customHeight="1">
      <c r="A16" s="875"/>
      <c r="B16" s="605"/>
      <c r="C16" s="605"/>
      <c r="D16" s="606"/>
      <c r="E16" s="607"/>
      <c r="F16" s="607"/>
      <c r="G16" s="605"/>
      <c r="H16" s="605"/>
      <c r="I16" s="605"/>
      <c r="J16" s="605"/>
      <c r="K16" s="605"/>
      <c r="L16" s="813"/>
      <c r="M16" s="885"/>
      <c r="N16" s="2973" t="s">
        <v>629</v>
      </c>
      <c r="O16" s="2974"/>
      <c r="P16" s="2975"/>
      <c r="Q16" s="882"/>
      <c r="R16" s="886"/>
      <c r="S16" s="886"/>
      <c r="U16" s="233"/>
      <c r="V16" s="233"/>
      <c r="W16" s="233"/>
    </row>
    <row r="17" spans="1:24" s="231" customFormat="1" ht="37.5" customHeight="1">
      <c r="A17" s="875"/>
      <c r="B17" s="887"/>
      <c r="C17" s="2976" t="s">
        <v>165</v>
      </c>
      <c r="D17" s="2977"/>
      <c r="E17" s="2977"/>
      <c r="F17" s="2977"/>
      <c r="G17" s="2977"/>
      <c r="H17" s="2977"/>
      <c r="I17" s="2977"/>
      <c r="J17" s="2978"/>
      <c r="K17" s="607"/>
      <c r="L17" s="946"/>
      <c r="M17" s="885"/>
      <c r="N17" s="439">
        <f>+MAX(G20:I20)</f>
        <v>0</v>
      </c>
      <c r="P17" s="440" t="s">
        <v>628</v>
      </c>
      <c r="Q17" s="882"/>
      <c r="R17" s="886"/>
      <c r="S17" s="886"/>
      <c r="U17" s="233"/>
      <c r="V17" s="233"/>
      <c r="W17" s="233"/>
    </row>
    <row r="18" spans="1:24" s="231" customFormat="1" ht="37.5" customHeight="1">
      <c r="A18" s="875"/>
      <c r="B18" s="888"/>
      <c r="C18" s="3022" t="s">
        <v>166</v>
      </c>
      <c r="D18" s="3023"/>
      <c r="E18" s="3023"/>
      <c r="F18" s="929" t="s">
        <v>167</v>
      </c>
      <c r="G18" s="2965"/>
      <c r="H18" s="2966"/>
      <c r="I18" s="2979"/>
      <c r="J18" s="2980"/>
      <c r="K18" s="607"/>
      <c r="L18" s="946"/>
      <c r="M18" s="885"/>
      <c r="N18" s="439">
        <f>+MIN(G20:I20)</f>
        <v>0</v>
      </c>
      <c r="O18" s="440" t="s">
        <v>171</v>
      </c>
      <c r="P18" s="441">
        <v>2.9</v>
      </c>
      <c r="Q18" s="882"/>
      <c r="R18" s="886"/>
      <c r="S18" s="886"/>
      <c r="U18" s="233"/>
      <c r="V18" s="233"/>
      <c r="W18" s="233"/>
    </row>
    <row r="19" spans="1:24" s="231" customFormat="1" ht="37.5" customHeight="1">
      <c r="A19" s="875"/>
      <c r="B19" s="888"/>
      <c r="C19" s="3024" t="s">
        <v>168</v>
      </c>
      <c r="D19" s="3025"/>
      <c r="E19" s="3025"/>
      <c r="F19" s="930" t="s">
        <v>169</v>
      </c>
      <c r="G19" s="2967"/>
      <c r="H19" s="2968"/>
      <c r="I19" s="2981"/>
      <c r="J19" s="2982"/>
      <c r="K19" s="607"/>
      <c r="L19" s="946"/>
      <c r="M19" s="889"/>
      <c r="N19" s="442">
        <f>+ABS(N17-N18)</f>
        <v>0</v>
      </c>
      <c r="O19" s="440" t="s">
        <v>173</v>
      </c>
      <c r="P19" s="443">
        <v>1.5</v>
      </c>
      <c r="Q19" s="882"/>
      <c r="R19" s="886"/>
      <c r="S19" s="886"/>
      <c r="U19" s="234"/>
      <c r="V19" s="234"/>
      <c r="W19" s="234"/>
    </row>
    <row r="20" spans="1:24" s="231" customFormat="1" ht="37.5" customHeight="1">
      <c r="A20" s="875"/>
      <c r="B20" s="888"/>
      <c r="C20" s="3026" t="s">
        <v>170</v>
      </c>
      <c r="D20" s="3027"/>
      <c r="E20" s="3027"/>
      <c r="F20" s="931" t="s">
        <v>518</v>
      </c>
      <c r="G20" s="2969"/>
      <c r="H20" s="2970"/>
      <c r="I20" s="2983"/>
      <c r="J20" s="2984"/>
      <c r="K20" s="607"/>
      <c r="L20" s="946"/>
      <c r="M20" s="889"/>
      <c r="N20" s="444" t="str">
        <f>+IF(N19&lt;P18,"ENSAYO OK","REPETIR ENSAYO")</f>
        <v>ENSAYO OK</v>
      </c>
      <c r="O20" s="445"/>
      <c r="P20" s="446"/>
      <c r="Q20" s="882"/>
      <c r="R20" s="886"/>
      <c r="S20" s="886"/>
      <c r="U20" s="235"/>
      <c r="V20" s="235"/>
      <c r="W20" s="235"/>
    </row>
    <row r="21" spans="1:24" s="231" customFormat="1" ht="37.5" customHeight="1">
      <c r="A21" s="875"/>
      <c r="B21" s="888"/>
      <c r="C21" s="3026" t="s">
        <v>172</v>
      </c>
      <c r="D21" s="3027"/>
      <c r="E21" s="3027"/>
      <c r="F21" s="931" t="s">
        <v>518</v>
      </c>
      <c r="G21" s="2969"/>
      <c r="H21" s="2970"/>
      <c r="I21" s="2983"/>
      <c r="J21" s="2984"/>
      <c r="K21" s="607"/>
      <c r="L21" s="946"/>
      <c r="M21" s="889"/>
      <c r="N21" s="890"/>
      <c r="O21" s="890"/>
      <c r="P21" s="890"/>
      <c r="Q21" s="882"/>
      <c r="R21" s="882"/>
      <c r="S21" s="607"/>
      <c r="T21" s="236"/>
      <c r="U21" s="237"/>
      <c r="V21" s="238"/>
      <c r="W21" s="239"/>
    </row>
    <row r="22" spans="1:24" s="231" customFormat="1" ht="36.950000000000003" customHeight="1">
      <c r="A22" s="875"/>
      <c r="B22" s="888"/>
      <c r="C22" s="3026" t="s">
        <v>174</v>
      </c>
      <c r="D22" s="3027"/>
      <c r="E22" s="3027"/>
      <c r="F22" s="932" t="s">
        <v>95</v>
      </c>
      <c r="G22" s="2971" t="str">
        <f>+IF(G20="","",((G21/G20)*100))</f>
        <v/>
      </c>
      <c r="H22" s="2972"/>
      <c r="I22" s="2963" t="str">
        <f>+IF(I20="","",((I21/I20)*100))</f>
        <v/>
      </c>
      <c r="J22" s="2964"/>
      <c r="K22" s="607"/>
      <c r="L22" s="946"/>
      <c r="M22" s="891"/>
      <c r="N22" s="892"/>
      <c r="O22" s="890"/>
      <c r="P22" s="890"/>
      <c r="Q22" s="882"/>
      <c r="R22" s="882"/>
      <c r="S22" s="893"/>
      <c r="T22" s="230"/>
    </row>
    <row r="23" spans="1:24" s="89" customFormat="1" ht="36.950000000000003" customHeight="1">
      <c r="A23" s="894"/>
      <c r="B23" s="888"/>
      <c r="C23" s="3028" t="s">
        <v>396</v>
      </c>
      <c r="D23" s="3029"/>
      <c r="E23" s="3029"/>
      <c r="F23" s="240" t="s">
        <v>95</v>
      </c>
      <c r="G23" s="3038" t="str">
        <f>IF(G22="","",ROUNDUP((AVERAGE(G22:I22)),0))</f>
        <v/>
      </c>
      <c r="H23" s="3039"/>
      <c r="I23" s="3039"/>
      <c r="J23" s="3040"/>
      <c r="K23" s="607"/>
      <c r="L23" s="946"/>
      <c r="M23" s="615"/>
      <c r="N23" s="615"/>
      <c r="O23" s="615"/>
      <c r="P23" s="615"/>
      <c r="Q23" s="615"/>
      <c r="R23" s="615"/>
      <c r="S23" s="615"/>
    </row>
    <row r="24" spans="1:24" s="84" customFormat="1" ht="17.100000000000001" customHeight="1">
      <c r="A24" s="3030"/>
      <c r="B24" s="3031"/>
      <c r="C24" s="3031"/>
      <c r="D24" s="3031"/>
      <c r="E24" s="3031"/>
      <c r="F24" s="3031"/>
      <c r="G24" s="3031"/>
      <c r="H24" s="3031"/>
      <c r="I24" s="3031"/>
      <c r="J24" s="3031"/>
      <c r="K24" s="3031"/>
      <c r="L24" s="3032"/>
      <c r="M24" s="798"/>
      <c r="N24" s="798"/>
      <c r="O24" s="798"/>
      <c r="P24" s="798"/>
      <c r="Q24" s="798"/>
      <c r="R24" s="798"/>
      <c r="S24" s="798"/>
    </row>
    <row r="25" spans="1:24" ht="20.100000000000001" customHeight="1">
      <c r="A25" s="3033" t="s">
        <v>20</v>
      </c>
      <c r="B25" s="3034"/>
      <c r="C25" s="2961"/>
      <c r="D25" s="2961"/>
      <c r="E25" s="2961"/>
      <c r="F25" s="2961"/>
      <c r="G25" s="2961"/>
      <c r="H25" s="2961"/>
      <c r="I25" s="2961"/>
      <c r="J25" s="2961"/>
      <c r="K25" s="2961"/>
      <c r="L25" s="2962"/>
      <c r="N25" s="882"/>
      <c r="T25" s="231"/>
      <c r="U25" s="231"/>
      <c r="V25" s="231"/>
      <c r="W25" s="231"/>
      <c r="X25" s="231"/>
    </row>
    <row r="26" spans="1:24" ht="38.1" customHeight="1">
      <c r="A26" s="3035"/>
      <c r="B26" s="3036"/>
      <c r="C26" s="3036"/>
      <c r="D26" s="3036"/>
      <c r="E26" s="3036"/>
      <c r="F26" s="3036"/>
      <c r="G26" s="3036"/>
      <c r="H26" s="3036"/>
      <c r="I26" s="3036"/>
      <c r="J26" s="3036"/>
      <c r="K26" s="3036"/>
      <c r="L26" s="3037"/>
      <c r="N26" s="882"/>
      <c r="T26" s="231"/>
      <c r="U26" s="231"/>
      <c r="V26" s="231"/>
      <c r="W26" s="231"/>
      <c r="X26" s="231"/>
    </row>
    <row r="27" spans="1:24">
      <c r="A27" s="3012"/>
      <c r="B27" s="3013"/>
      <c r="C27" s="3014"/>
      <c r="D27" s="3015" t="s">
        <v>10</v>
      </c>
      <c r="E27" s="3016"/>
      <c r="F27" s="3017"/>
      <c r="G27" s="3015" t="s">
        <v>11</v>
      </c>
      <c r="H27" s="3016"/>
      <c r="I27" s="3017"/>
      <c r="J27" s="3018" t="s">
        <v>12</v>
      </c>
      <c r="K27" s="3019"/>
      <c r="L27" s="3020"/>
      <c r="T27" s="231"/>
      <c r="U27" s="231"/>
      <c r="V27" s="231"/>
      <c r="W27" s="231"/>
      <c r="X27" s="231"/>
    </row>
    <row r="28" spans="1:24" ht="44.25" customHeight="1">
      <c r="A28" s="3041" t="s">
        <v>13</v>
      </c>
      <c r="B28" s="3042"/>
      <c r="C28" s="3043"/>
      <c r="D28" s="3044"/>
      <c r="E28" s="3045"/>
      <c r="F28" s="3046"/>
      <c r="G28" s="3044"/>
      <c r="H28" s="3045"/>
      <c r="I28" s="3046"/>
      <c r="J28" s="3047"/>
      <c r="K28" s="3048"/>
      <c r="L28" s="3049"/>
      <c r="T28" s="231"/>
      <c r="U28" s="231"/>
      <c r="V28" s="231"/>
      <c r="W28" s="231"/>
      <c r="X28" s="231"/>
    </row>
    <row r="29" spans="1:24" ht="15" customHeight="1">
      <c r="A29" s="3050" t="s">
        <v>622</v>
      </c>
      <c r="B29" s="3051"/>
      <c r="C29" s="3052"/>
      <c r="D29" s="3053" t="s">
        <v>560</v>
      </c>
      <c r="E29" s="3054"/>
      <c r="F29" s="3055"/>
      <c r="G29" s="3053" t="s">
        <v>560</v>
      </c>
      <c r="H29" s="3054"/>
      <c r="I29" s="3055"/>
      <c r="J29" s="3053" t="s">
        <v>560</v>
      </c>
      <c r="K29" s="3054"/>
      <c r="L29" s="3056"/>
      <c r="T29" s="231"/>
      <c r="U29" s="231"/>
      <c r="V29" s="231"/>
      <c r="W29" s="231"/>
      <c r="X29" s="231"/>
    </row>
    <row r="30" spans="1:24" ht="15" customHeight="1" thickBot="1">
      <c r="A30" s="3057" t="s">
        <v>14</v>
      </c>
      <c r="B30" s="3058"/>
      <c r="C30" s="3059"/>
      <c r="D30" s="3060" t="str">
        <f>IF(D29="--","",VLOOKUP(D29,firmas!A2:B31,2,0))</f>
        <v/>
      </c>
      <c r="E30" s="3061"/>
      <c r="F30" s="3062"/>
      <c r="G30" s="3060" t="str">
        <f>IF(G29="--","",VLOOKUP(G29,firmas!A33:B35,2,0))</f>
        <v/>
      </c>
      <c r="H30" s="3061"/>
      <c r="I30" s="3062"/>
      <c r="J30" s="3060" t="str">
        <f>IF(J29="--","",VLOOKUP(J29,[34]firmas!A33:B34,2))</f>
        <v/>
      </c>
      <c r="K30" s="3061"/>
      <c r="L30" s="3063"/>
      <c r="N30" s="874" t="s">
        <v>0</v>
      </c>
      <c r="T30" s="231"/>
      <c r="U30" s="231"/>
      <c r="V30" s="231"/>
      <c r="W30" s="231"/>
      <c r="X30" s="231"/>
    </row>
    <row r="31" spans="1:24" ht="15" customHeight="1" thickTop="1" thickBot="1">
      <c r="A31" s="2923"/>
      <c r="B31" s="2923"/>
      <c r="C31" s="2923"/>
      <c r="D31" s="2923"/>
      <c r="E31" s="2923"/>
      <c r="F31" s="2923"/>
      <c r="G31" s="2923"/>
      <c r="H31" s="2923"/>
      <c r="I31" s="2923"/>
      <c r="J31" s="2923"/>
      <c r="K31" s="2923"/>
      <c r="L31" s="2923"/>
      <c r="T31" s="231"/>
      <c r="U31" s="231"/>
      <c r="V31" s="231"/>
      <c r="W31" s="231"/>
      <c r="X31" s="231"/>
    </row>
    <row r="32" spans="1:24" ht="21.95" customHeight="1" thickTop="1">
      <c r="A32" s="2895" t="s">
        <v>161</v>
      </c>
      <c r="B32" s="2895"/>
      <c r="C32" s="2895"/>
      <c r="D32" s="2895"/>
      <c r="E32" s="2895"/>
      <c r="F32" s="2895"/>
      <c r="G32" s="2895"/>
      <c r="H32" s="2895"/>
      <c r="I32" s="2895"/>
      <c r="J32" s="2895"/>
      <c r="K32" s="2895"/>
      <c r="L32" s="2895"/>
      <c r="T32" s="231"/>
      <c r="U32" s="231"/>
      <c r="V32" s="231"/>
      <c r="W32" s="231"/>
      <c r="X32" s="231"/>
    </row>
    <row r="33" spans="1:24" ht="30" customHeight="1">
      <c r="A33" s="2916" t="s">
        <v>175</v>
      </c>
      <c r="B33" s="2916"/>
      <c r="C33" s="2916"/>
      <c r="D33" s="2916"/>
      <c r="E33" s="2916"/>
      <c r="F33" s="2916"/>
      <c r="G33" s="2916"/>
      <c r="H33" s="2916"/>
      <c r="I33" s="2916"/>
      <c r="J33" s="2916"/>
      <c r="K33" s="2916"/>
      <c r="L33" s="2916"/>
      <c r="T33" s="231"/>
      <c r="U33" s="231"/>
      <c r="V33" s="231"/>
      <c r="W33" s="231"/>
      <c r="X33" s="231"/>
    </row>
    <row r="34" spans="1:24">
      <c r="T34" s="231"/>
      <c r="U34" s="231"/>
      <c r="V34" s="231"/>
      <c r="W34" s="231"/>
      <c r="X34" s="231"/>
    </row>
    <row r="35" spans="1:24">
      <c r="T35" s="231"/>
      <c r="U35" s="231"/>
      <c r="V35" s="231"/>
      <c r="W35" s="231"/>
      <c r="X35" s="231"/>
    </row>
    <row r="36" spans="1:24">
      <c r="T36" s="231"/>
      <c r="U36" s="231"/>
      <c r="V36" s="231"/>
      <c r="W36" s="231"/>
      <c r="X36" s="231"/>
    </row>
    <row r="37" spans="1:24">
      <c r="T37" s="231"/>
      <c r="U37" s="231"/>
      <c r="V37" s="231"/>
      <c r="W37" s="231"/>
      <c r="X37" s="231"/>
    </row>
    <row r="38" spans="1:24">
      <c r="T38" s="231"/>
      <c r="U38" s="231"/>
      <c r="V38" s="231"/>
      <c r="W38" s="231"/>
      <c r="X38" s="231"/>
    </row>
    <row r="39" spans="1:24">
      <c r="T39" s="231"/>
      <c r="U39" s="231"/>
      <c r="V39" s="231"/>
      <c r="W39" s="231"/>
      <c r="X39" s="231"/>
    </row>
    <row r="40" spans="1:24">
      <c r="T40" s="231"/>
      <c r="U40" s="231"/>
      <c r="V40" s="231"/>
      <c r="W40" s="231"/>
      <c r="X40" s="231"/>
    </row>
    <row r="41" spans="1:24">
      <c r="T41" s="231"/>
      <c r="U41" s="231"/>
      <c r="V41" s="231"/>
      <c r="W41" s="231"/>
      <c r="X41" s="231"/>
    </row>
    <row r="42" spans="1:24">
      <c r="T42" s="231"/>
      <c r="U42" s="231"/>
      <c r="V42" s="231"/>
      <c r="W42" s="231"/>
      <c r="X42" s="231"/>
    </row>
    <row r="43" spans="1:24">
      <c r="T43" s="231"/>
      <c r="U43" s="231"/>
      <c r="V43" s="231"/>
      <c r="W43" s="231"/>
      <c r="X43" s="231"/>
    </row>
    <row r="44" spans="1:24">
      <c r="T44" s="231"/>
      <c r="U44" s="231"/>
      <c r="V44" s="231"/>
      <c r="W44" s="231"/>
      <c r="X44" s="231"/>
    </row>
    <row r="45" spans="1:24">
      <c r="T45" s="231"/>
      <c r="U45" s="231"/>
      <c r="V45" s="231"/>
      <c r="W45" s="231"/>
      <c r="X45" s="231"/>
    </row>
    <row r="46" spans="1:24">
      <c r="T46" s="231"/>
      <c r="U46" s="231"/>
      <c r="V46" s="231"/>
      <c r="W46" s="231"/>
      <c r="X46" s="231"/>
    </row>
    <row r="47" spans="1:24">
      <c r="T47" s="231"/>
      <c r="U47" s="231"/>
      <c r="V47" s="231"/>
      <c r="W47" s="231"/>
      <c r="X47" s="231"/>
    </row>
    <row r="48" spans="1:24">
      <c r="T48" s="231"/>
      <c r="U48" s="231"/>
      <c r="V48" s="231"/>
      <c r="W48" s="231"/>
      <c r="X48" s="231"/>
    </row>
    <row r="49" spans="20:24">
      <c r="T49" s="231"/>
      <c r="U49" s="231"/>
      <c r="V49" s="231"/>
      <c r="W49" s="231"/>
      <c r="X49" s="231"/>
    </row>
    <row r="50" spans="20:24">
      <c r="T50" s="231"/>
      <c r="U50" s="231"/>
      <c r="V50" s="231"/>
      <c r="W50" s="231"/>
      <c r="X50" s="231"/>
    </row>
    <row r="51" spans="20:24">
      <c r="T51" s="231"/>
      <c r="U51" s="231"/>
      <c r="V51" s="231"/>
      <c r="W51" s="231"/>
      <c r="X51" s="231"/>
    </row>
    <row r="52" spans="20:24">
      <c r="T52" s="231"/>
      <c r="U52" s="231"/>
      <c r="V52" s="231"/>
      <c r="W52" s="231"/>
      <c r="X52" s="231"/>
    </row>
    <row r="53" spans="20:24">
      <c r="T53" s="231"/>
      <c r="U53" s="231"/>
      <c r="V53" s="231"/>
      <c r="W53" s="231"/>
      <c r="X53" s="231"/>
    </row>
    <row r="54" spans="20:24">
      <c r="T54" s="231"/>
      <c r="U54" s="231"/>
      <c r="V54" s="231"/>
      <c r="W54" s="231"/>
      <c r="X54" s="231"/>
    </row>
    <row r="55" spans="20:24">
      <c r="T55" s="231"/>
      <c r="U55" s="231"/>
      <c r="V55" s="231"/>
      <c r="W55" s="231"/>
      <c r="X55" s="231"/>
    </row>
    <row r="56" spans="20:24">
      <c r="T56" s="231"/>
      <c r="U56" s="231"/>
      <c r="V56" s="231"/>
      <c r="W56" s="231"/>
      <c r="X56" s="231"/>
    </row>
    <row r="57" spans="20:24">
      <c r="T57" s="231"/>
      <c r="U57" s="231"/>
      <c r="V57" s="231"/>
      <c r="W57" s="231"/>
      <c r="X57" s="231"/>
    </row>
    <row r="58" spans="20:24">
      <c r="T58" s="231"/>
      <c r="U58" s="231"/>
      <c r="V58" s="231"/>
      <c r="W58" s="231"/>
      <c r="X58" s="231"/>
    </row>
    <row r="59" spans="20:24">
      <c r="T59" s="231"/>
      <c r="U59" s="231"/>
      <c r="V59" s="231"/>
      <c r="W59" s="231"/>
      <c r="X59" s="231"/>
    </row>
    <row r="60" spans="20:24">
      <c r="T60" s="231"/>
      <c r="U60" s="231"/>
      <c r="V60" s="231"/>
      <c r="W60" s="231"/>
      <c r="X60" s="231"/>
    </row>
    <row r="61" spans="20:24">
      <c r="T61" s="231"/>
      <c r="U61" s="231"/>
      <c r="V61" s="231"/>
      <c r="W61" s="231"/>
      <c r="X61" s="231"/>
    </row>
    <row r="62" spans="20:24">
      <c r="T62" s="231"/>
      <c r="U62" s="231"/>
      <c r="V62" s="231"/>
      <c r="W62" s="231"/>
      <c r="X62" s="231"/>
    </row>
    <row r="63" spans="20:24">
      <c r="T63" s="231"/>
      <c r="U63" s="231"/>
      <c r="V63" s="231"/>
      <c r="W63" s="231"/>
      <c r="X63" s="231"/>
    </row>
    <row r="64" spans="20:24">
      <c r="T64" s="231"/>
      <c r="U64" s="231"/>
      <c r="V64" s="231"/>
      <c r="W64" s="231"/>
      <c r="X64" s="231"/>
    </row>
    <row r="65" spans="20:24">
      <c r="T65" s="231"/>
      <c r="U65" s="231"/>
      <c r="V65" s="231"/>
      <c r="W65" s="231"/>
      <c r="X65" s="231"/>
    </row>
    <row r="66" spans="20:24">
      <c r="T66" s="231"/>
      <c r="U66" s="231"/>
      <c r="V66" s="231"/>
      <c r="W66" s="231"/>
      <c r="X66" s="231"/>
    </row>
    <row r="67" spans="20:24">
      <c r="T67" s="231"/>
      <c r="U67" s="231"/>
      <c r="V67" s="231"/>
      <c r="W67" s="231"/>
      <c r="X67" s="231"/>
    </row>
    <row r="68" spans="20:24">
      <c r="T68" s="231"/>
      <c r="U68" s="231"/>
      <c r="V68" s="231"/>
      <c r="W68" s="231"/>
      <c r="X68" s="231"/>
    </row>
    <row r="69" spans="20:24">
      <c r="T69" s="231"/>
      <c r="U69" s="231"/>
      <c r="V69" s="231"/>
      <c r="W69" s="231"/>
      <c r="X69" s="231"/>
    </row>
    <row r="70" spans="20:24">
      <c r="T70" s="231"/>
      <c r="U70" s="231"/>
      <c r="V70" s="231"/>
      <c r="W70" s="231"/>
      <c r="X70" s="231"/>
    </row>
    <row r="71" spans="20:24">
      <c r="T71" s="231"/>
      <c r="U71" s="231"/>
      <c r="V71" s="231"/>
      <c r="W71" s="231"/>
      <c r="X71" s="231"/>
    </row>
    <row r="72" spans="20:24">
      <c r="T72" s="231"/>
      <c r="U72" s="231"/>
      <c r="V72" s="231"/>
      <c r="W72" s="231"/>
      <c r="X72" s="231"/>
    </row>
    <row r="73" spans="20:24">
      <c r="T73" s="231"/>
      <c r="U73" s="231"/>
      <c r="V73" s="231"/>
      <c r="W73" s="231"/>
      <c r="X73" s="231"/>
    </row>
    <row r="74" spans="20:24">
      <c r="T74" s="231"/>
      <c r="U74" s="231"/>
      <c r="V74" s="231"/>
      <c r="W74" s="231"/>
      <c r="X74" s="231"/>
    </row>
  </sheetData>
  <sheetProtection algorithmName="SHA-512" hashValue="R+qn1wjbwtxCs28jbcVgzZ4tBfpH9bmJgChGhV0icy6KWlAtCVgzfy9u/m4ELGQ9ra8uIsmRMBtS237UheCfLg==" saltValue="FDA5sIJAAbepEebYLn9SQw==" spinCount="100000" sheet="1" formatCells="0"/>
  <mergeCells count="76">
    <mergeCell ref="I9:J9"/>
    <mergeCell ref="I8:J8"/>
    <mergeCell ref="K8:L8"/>
    <mergeCell ref="K9:L9"/>
    <mergeCell ref="K12:L12"/>
    <mergeCell ref="A33:L33"/>
    <mergeCell ref="A30:C30"/>
    <mergeCell ref="D30:F30"/>
    <mergeCell ref="G30:I30"/>
    <mergeCell ref="J30:L30"/>
    <mergeCell ref="A31:L31"/>
    <mergeCell ref="A32:L32"/>
    <mergeCell ref="A28:C28"/>
    <mergeCell ref="D28:F28"/>
    <mergeCell ref="G28:I28"/>
    <mergeCell ref="J28:L28"/>
    <mergeCell ref="A29:C29"/>
    <mergeCell ref="D29:F29"/>
    <mergeCell ref="G29:I29"/>
    <mergeCell ref="J29:L29"/>
    <mergeCell ref="A27:C27"/>
    <mergeCell ref="D27:F27"/>
    <mergeCell ref="G27:I27"/>
    <mergeCell ref="J27:L27"/>
    <mergeCell ref="C15:H15"/>
    <mergeCell ref="C18:E18"/>
    <mergeCell ref="C19:E19"/>
    <mergeCell ref="C20:E20"/>
    <mergeCell ref="C21:E21"/>
    <mergeCell ref="C22:E22"/>
    <mergeCell ref="C23:E23"/>
    <mergeCell ref="A24:L24"/>
    <mergeCell ref="A25:B25"/>
    <mergeCell ref="A26:L26"/>
    <mergeCell ref="G23:J23"/>
    <mergeCell ref="I21:J21"/>
    <mergeCell ref="C14:H14"/>
    <mergeCell ref="A10:C11"/>
    <mergeCell ref="D10:H11"/>
    <mergeCell ref="K10:L10"/>
    <mergeCell ref="K11:L11"/>
    <mergeCell ref="A12:C12"/>
    <mergeCell ref="I11:J11"/>
    <mergeCell ref="A13:L13"/>
    <mergeCell ref="I12:J12"/>
    <mergeCell ref="D12:E12"/>
    <mergeCell ref="G12:H12"/>
    <mergeCell ref="A8:C8"/>
    <mergeCell ref="D8:H8"/>
    <mergeCell ref="A9:C9"/>
    <mergeCell ref="D9:H9"/>
    <mergeCell ref="A6:B6"/>
    <mergeCell ref="D6:H6"/>
    <mergeCell ref="I6:J6"/>
    <mergeCell ref="K6:L6"/>
    <mergeCell ref="A7:C7"/>
    <mergeCell ref="D7:H7"/>
    <mergeCell ref="K7:L7"/>
    <mergeCell ref="C5:L5"/>
    <mergeCell ref="C1:L1"/>
    <mergeCell ref="C2:L2"/>
    <mergeCell ref="C3:L3"/>
    <mergeCell ref="C4:I4"/>
    <mergeCell ref="J4:L4"/>
    <mergeCell ref="N16:P16"/>
    <mergeCell ref="C17:J17"/>
    <mergeCell ref="I18:J18"/>
    <mergeCell ref="I19:J19"/>
    <mergeCell ref="I20:J20"/>
    <mergeCell ref="C25:L25"/>
    <mergeCell ref="I22:J22"/>
    <mergeCell ref="G18:H18"/>
    <mergeCell ref="G19:H19"/>
    <mergeCell ref="G20:H20"/>
    <mergeCell ref="G21:H21"/>
    <mergeCell ref="G22:H22"/>
  </mergeCells>
  <dataValidations count="5">
    <dataValidation type="list" allowBlank="1" showInputMessage="1" showErrorMessage="1" sqref="I14">
      <formula1>$O$11:$O$12</formula1>
    </dataValidation>
    <dataValidation type="list" allowBlank="1" showInputMessage="1" showErrorMessage="1" sqref="I15">
      <formula1>$N$11:$N$12</formula1>
    </dataValidation>
    <dataValidation type="list" allowBlank="1" showInputMessage="1" showErrorMessage="1" sqref="D29:F29">
      <formula1>Elaboronombres</formula1>
    </dataValidation>
    <dataValidation type="list" allowBlank="1" showInputMessage="1" showErrorMessage="1" sqref="J29:L29">
      <formula1>aprobonombres</formula1>
    </dataValidation>
    <dataValidation type="list" allowBlank="1" showInputMessage="1" showErrorMessage="1" sqref="G29:I29">
      <formula1>revisonombres</formula1>
    </dataValidation>
  </dataValidations>
  <printOptions horizontalCentered="1" gridLinesSet="0"/>
  <pageMargins left="0.39370078740157483" right="0.19685039370078741" top="0" bottom="0" header="0" footer="0.78740157480314965"/>
  <pageSetup orientation="portrait" r:id="rId1"/>
  <headerFooter scaleWithDoc="0">
    <oddFooter>&amp;L&amp;"Arial,Normal"&amp;6Calle 26 No. 57-41 Torre 8 Pisos 7-8 CEMSA - CP: 1113111            
Pbx: 3779555  - Información: Línea 195     
www.umv.gov.co111311&amp;C&amp;"Arial,Normal"&amp;6GLAB-FM-006
Página 1 de 1</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Z32"/>
  <sheetViews>
    <sheetView showGridLines="0" view="pageBreakPreview" topLeftCell="A10" zoomScaleSheetLayoutView="100" workbookViewId="0">
      <selection activeCell="E17" sqref="E17:X17"/>
    </sheetView>
  </sheetViews>
  <sheetFormatPr baseColWidth="10" defaultColWidth="9.140625" defaultRowHeight="12.75"/>
  <cols>
    <col min="1" max="1" width="12.28515625" style="609" customWidth="1"/>
    <col min="2" max="2" width="8.7109375" style="609" customWidth="1"/>
    <col min="3" max="3" width="7.5703125" style="609" customWidth="1"/>
    <col min="4" max="4" width="7.28515625" style="609" customWidth="1"/>
    <col min="5" max="5" width="10.85546875" style="609" customWidth="1"/>
    <col min="6" max="6" width="9.28515625" style="609" customWidth="1"/>
    <col min="7" max="7" width="5.5703125" style="609" customWidth="1"/>
    <col min="8" max="8" width="10.28515625" style="609" customWidth="1"/>
    <col min="9" max="9" width="10.7109375" style="609" customWidth="1"/>
    <col min="10" max="10" width="8.28515625" style="609" customWidth="1"/>
    <col min="11" max="11" width="6.5703125" style="609" customWidth="1"/>
    <col min="12" max="16384" width="9.140625" style="609"/>
  </cols>
  <sheetData>
    <row r="1" spans="1:12" ht="18" customHeight="1">
      <c r="A1" s="3081"/>
      <c r="B1" s="3081"/>
      <c r="C1" s="3069" t="s">
        <v>9</v>
      </c>
      <c r="D1" s="3070"/>
      <c r="E1" s="3070"/>
      <c r="F1" s="3070"/>
      <c r="G1" s="3070"/>
      <c r="H1" s="3070"/>
      <c r="I1" s="3070"/>
      <c r="J1" s="3070"/>
      <c r="K1" s="3071"/>
      <c r="L1" s="608"/>
    </row>
    <row r="2" spans="1:12" ht="18" customHeight="1">
      <c r="A2" s="3081"/>
      <c r="B2" s="3081"/>
      <c r="C2" s="3072" t="s">
        <v>644</v>
      </c>
      <c r="D2" s="3072"/>
      <c r="E2" s="3072"/>
      <c r="F2" s="3072"/>
      <c r="G2" s="3072"/>
      <c r="H2" s="3072"/>
      <c r="I2" s="3072"/>
      <c r="J2" s="3072"/>
      <c r="K2" s="3073"/>
      <c r="L2" s="608"/>
    </row>
    <row r="3" spans="1:12" ht="15" customHeight="1">
      <c r="A3" s="3081"/>
      <c r="B3" s="3081"/>
      <c r="C3" s="3072" t="s">
        <v>641</v>
      </c>
      <c r="D3" s="3072"/>
      <c r="E3" s="3072"/>
      <c r="F3" s="3072"/>
      <c r="G3" s="3072"/>
      <c r="H3" s="3072"/>
      <c r="I3" s="3072"/>
      <c r="J3" s="3072"/>
      <c r="K3" s="3073"/>
      <c r="L3" s="1345"/>
    </row>
    <row r="4" spans="1:12" ht="15" customHeight="1">
      <c r="A4" s="3081"/>
      <c r="B4" s="3081"/>
      <c r="C4" s="3074" t="s">
        <v>813</v>
      </c>
      <c r="D4" s="3075"/>
      <c r="E4" s="3075"/>
      <c r="F4" s="3075"/>
      <c r="G4" s="3075"/>
      <c r="H4" s="3075" t="s">
        <v>814</v>
      </c>
      <c r="I4" s="3075"/>
      <c r="J4" s="3075"/>
      <c r="K4" s="3075"/>
      <c r="L4" s="610"/>
    </row>
    <row r="5" spans="1:12" ht="15" customHeight="1">
      <c r="A5" s="3081"/>
      <c r="B5" s="3081"/>
      <c r="C5" s="3067" t="s">
        <v>815</v>
      </c>
      <c r="D5" s="3067"/>
      <c r="E5" s="3067"/>
      <c r="F5" s="3067"/>
      <c r="G5" s="3067"/>
      <c r="H5" s="3067"/>
      <c r="I5" s="3067"/>
      <c r="J5" s="3067"/>
      <c r="K5" s="3068"/>
      <c r="L5" s="610"/>
    </row>
    <row r="6" spans="1:12" ht="18" customHeight="1">
      <c r="A6" s="814" t="s">
        <v>5</v>
      </c>
      <c r="B6" s="3076" t="str">
        <f>IF('Gradacion '!E6="","",+'Gradacion '!E6)</f>
        <v/>
      </c>
      <c r="C6" s="3076"/>
      <c r="D6" s="3076"/>
      <c r="E6" s="3076"/>
      <c r="F6" s="3076"/>
      <c r="G6" s="3076"/>
      <c r="H6" s="2539" t="s">
        <v>324</v>
      </c>
      <c r="I6" s="2539"/>
      <c r="J6" s="2533"/>
      <c r="K6" s="2534"/>
    </row>
    <row r="7" spans="1:12" ht="18" customHeight="1">
      <c r="A7" s="814" t="s">
        <v>39</v>
      </c>
      <c r="B7" s="3080" t="str">
        <f>IF('Gradacion '!E7="","",+'Gradacion '!E7)</f>
        <v/>
      </c>
      <c r="C7" s="3080"/>
      <c r="D7" s="3080"/>
      <c r="E7" s="1378" t="s">
        <v>18</v>
      </c>
      <c r="F7" s="3080" t="str">
        <f>IF('Gradacion '!O7="","",'Gradacion '!O7)</f>
        <v/>
      </c>
      <c r="G7" s="3080"/>
      <c r="H7" s="611" t="s">
        <v>40</v>
      </c>
      <c r="I7" s="611"/>
      <c r="J7" s="3153" t="str">
        <f>IF('Gradacion '!AB7="","",+'Gradacion '!AB7)</f>
        <v/>
      </c>
      <c r="K7" s="3154"/>
    </row>
    <row r="8" spans="1:12" ht="18" customHeight="1">
      <c r="A8" s="814" t="s">
        <v>465</v>
      </c>
      <c r="B8" s="3080" t="str">
        <f>IF('Gradacion '!E8="","",+'Gradacion '!E8)</f>
        <v/>
      </c>
      <c r="C8" s="3080"/>
      <c r="D8" s="3080"/>
      <c r="E8" s="611" t="s">
        <v>19</v>
      </c>
      <c r="F8" s="3080" t="str">
        <f>IF('Gradacion '!O8="","",'Gradacion '!O8)</f>
        <v/>
      </c>
      <c r="G8" s="3080"/>
      <c r="H8" s="3164" t="s">
        <v>407</v>
      </c>
      <c r="I8" s="3164"/>
      <c r="J8" s="3155"/>
      <c r="K8" s="3156"/>
    </row>
    <row r="9" spans="1:12" ht="18" customHeight="1">
      <c r="A9" s="1379" t="s">
        <v>6</v>
      </c>
      <c r="B9" s="3077" t="str">
        <f>IF('Gradacion '!E9="","",+'Gradacion '!E9)</f>
        <v/>
      </c>
      <c r="C9" s="3077"/>
      <c r="D9" s="3077"/>
      <c r="E9" s="3077"/>
      <c r="F9" s="3077"/>
      <c r="G9" s="3077"/>
      <c r="H9" s="3066" t="s">
        <v>633</v>
      </c>
      <c r="I9" s="3066"/>
      <c r="J9" s="3078" t="str">
        <f>IF('Gradacion '!AB9="","",+'Gradacion '!AB9)</f>
        <v/>
      </c>
      <c r="K9" s="3079"/>
    </row>
    <row r="10" spans="1:12" ht="18" customHeight="1">
      <c r="A10" s="815"/>
      <c r="B10" s="612"/>
      <c r="C10" s="612"/>
      <c r="D10" s="613"/>
      <c r="E10" s="613"/>
      <c r="F10" s="613"/>
      <c r="G10" s="613"/>
      <c r="H10" s="612"/>
      <c r="I10" s="612"/>
      <c r="J10" s="614"/>
      <c r="K10" s="816"/>
    </row>
    <row r="11" spans="1:12" ht="18" customHeight="1">
      <c r="A11" s="817"/>
      <c r="B11" s="1347"/>
      <c r="C11" s="1347"/>
      <c r="D11" s="1347"/>
      <c r="E11" s="3165"/>
      <c r="F11" s="3165"/>
      <c r="G11" s="3165"/>
      <c r="H11" s="1347"/>
      <c r="I11" s="1347"/>
      <c r="J11" s="1347"/>
      <c r="K11" s="818"/>
    </row>
    <row r="12" spans="1:12" ht="18" customHeight="1">
      <c r="A12" s="817"/>
      <c r="B12" s="1347"/>
      <c r="C12" s="1347"/>
      <c r="D12" s="1347"/>
      <c r="E12" s="1347"/>
      <c r="F12" s="1347"/>
      <c r="G12" s="1347"/>
      <c r="H12" s="1347"/>
      <c r="I12" s="1347"/>
      <c r="J12" s="1347"/>
      <c r="K12" s="818"/>
    </row>
    <row r="13" spans="1:12" ht="24.75" customHeight="1">
      <c r="A13" s="3157" t="s">
        <v>176</v>
      </c>
      <c r="B13" s="3158"/>
      <c r="C13" s="3158"/>
      <c r="D13" s="3158"/>
      <c r="E13" s="3158"/>
      <c r="F13" s="3158"/>
      <c r="G13" s="3158"/>
      <c r="H13" s="3158"/>
      <c r="I13" s="3158"/>
      <c r="J13" s="3158"/>
      <c r="K13" s="3159"/>
    </row>
    <row r="14" spans="1:12" s="615" customFormat="1" ht="51" customHeight="1">
      <c r="A14" s="3160" t="s">
        <v>177</v>
      </c>
      <c r="B14" s="3161"/>
      <c r="C14" s="3161"/>
      <c r="D14" s="3161"/>
      <c r="E14" s="73" t="s">
        <v>499</v>
      </c>
      <c r="F14" s="3149" t="s">
        <v>178</v>
      </c>
      <c r="G14" s="3160" t="s">
        <v>500</v>
      </c>
      <c r="H14" s="3162"/>
      <c r="I14" s="1346" t="s">
        <v>179</v>
      </c>
      <c r="J14" s="3160" t="s">
        <v>180</v>
      </c>
      <c r="K14" s="3162"/>
    </row>
    <row r="15" spans="1:12" ht="23.25" customHeight="1">
      <c r="A15" s="3151" t="s">
        <v>181</v>
      </c>
      <c r="B15" s="3163"/>
      <c r="C15" s="3163" t="s">
        <v>182</v>
      </c>
      <c r="D15" s="3163"/>
      <c r="E15" s="74" t="s">
        <v>183</v>
      </c>
      <c r="F15" s="3150"/>
      <c r="G15" s="3151" t="s">
        <v>184</v>
      </c>
      <c r="H15" s="3152"/>
      <c r="I15" s="1352" t="s">
        <v>95</v>
      </c>
      <c r="J15" s="3151" t="s">
        <v>185</v>
      </c>
      <c r="K15" s="3152"/>
    </row>
    <row r="16" spans="1:12" ht="24.75" customHeight="1">
      <c r="A16" s="3086" t="s">
        <v>359</v>
      </c>
      <c r="B16" s="3087"/>
      <c r="C16" s="3090" t="s">
        <v>61</v>
      </c>
      <c r="D16" s="3087"/>
      <c r="E16" s="939"/>
      <c r="F16" s="856" t="s">
        <v>573</v>
      </c>
      <c r="G16" s="3143"/>
      <c r="H16" s="3144"/>
      <c r="I16" s="1035">
        <f>IF('Gradacion '!AU35="","",+'Gradacion '!AU35)</f>
        <v>0</v>
      </c>
      <c r="J16" s="3141" t="str">
        <f>+IF(E16="","",((E16-G16)/E16)*100)</f>
        <v/>
      </c>
      <c r="K16" s="3142"/>
    </row>
    <row r="17" spans="1:26" ht="24.75" customHeight="1">
      <c r="A17" s="3088" t="s">
        <v>61</v>
      </c>
      <c r="B17" s="3083"/>
      <c r="C17" s="3082" t="s">
        <v>65</v>
      </c>
      <c r="D17" s="3083"/>
      <c r="E17" s="939"/>
      <c r="F17" s="856" t="s">
        <v>372</v>
      </c>
      <c r="G17" s="3143"/>
      <c r="H17" s="3144"/>
      <c r="I17" s="15">
        <f>IF('Gradacion '!AU36="","",+'Gradacion '!AU36)</f>
        <v>0</v>
      </c>
      <c r="J17" s="3141" t="str">
        <f>+IF(E17="","",((E17-G17)/E17)*100)</f>
        <v/>
      </c>
      <c r="K17" s="3142"/>
    </row>
    <row r="18" spans="1:26" ht="24.75" customHeight="1">
      <c r="A18" s="3089" t="s">
        <v>65</v>
      </c>
      <c r="B18" s="3085"/>
      <c r="C18" s="3084" t="s">
        <v>372</v>
      </c>
      <c r="D18" s="3085"/>
      <c r="E18" s="940"/>
      <c r="F18" s="857" t="s">
        <v>372</v>
      </c>
      <c r="G18" s="3145"/>
      <c r="H18" s="3146"/>
      <c r="I18" s="1353">
        <f>IF('Gradacion '!AU37="","",+'Gradacion '!AU37)</f>
        <v>0</v>
      </c>
      <c r="J18" s="3147" t="str">
        <f>+IF(E18="","",((E18-G18)/E18)*100)</f>
        <v/>
      </c>
      <c r="K18" s="3148"/>
    </row>
    <row r="19" spans="1:26" ht="24.75" customHeight="1">
      <c r="A19" s="3126" t="s">
        <v>186</v>
      </c>
      <c r="B19" s="3127"/>
      <c r="C19" s="3127"/>
      <c r="D19" s="3127"/>
      <c r="E19" s="3127"/>
      <c r="F19" s="3127"/>
      <c r="G19" s="3127"/>
      <c r="H19" s="3127"/>
      <c r="I19" s="3127"/>
      <c r="J19" s="3127"/>
      <c r="K19" s="3128"/>
    </row>
    <row r="20" spans="1:26" ht="24.75" customHeight="1">
      <c r="A20" s="3139" t="s">
        <v>372</v>
      </c>
      <c r="B20" s="3140"/>
      <c r="C20" s="3137" t="s">
        <v>602</v>
      </c>
      <c r="D20" s="3138"/>
      <c r="E20" s="941"/>
      <c r="F20" s="858" t="s">
        <v>574</v>
      </c>
      <c r="G20" s="3129"/>
      <c r="H20" s="3130"/>
      <c r="I20" s="934">
        <f>+'Gradacion '!AU38</f>
        <v>0</v>
      </c>
      <c r="J20" s="3131" t="str">
        <f>IF(E20="","",(E20-G20)/E20*100)</f>
        <v/>
      </c>
      <c r="K20" s="3132"/>
    </row>
    <row r="21" spans="1:26" ht="13.5" customHeight="1">
      <c r="A21" s="3115" t="s">
        <v>187</v>
      </c>
      <c r="B21" s="3116"/>
      <c r="C21" s="3116"/>
      <c r="D21" s="3116"/>
      <c r="E21" s="3116"/>
      <c r="F21" s="3116"/>
      <c r="G21" s="3116"/>
      <c r="H21" s="3116"/>
      <c r="I21" s="3119" t="s">
        <v>95</v>
      </c>
      <c r="J21" s="3133" t="str">
        <f>+IF(AND(J16="",J20=""),"",AVERAGE(J16:K20))</f>
        <v/>
      </c>
      <c r="K21" s="3134"/>
    </row>
    <row r="22" spans="1:26" s="615" customFormat="1" ht="8.25" customHeight="1">
      <c r="A22" s="3117"/>
      <c r="B22" s="3118"/>
      <c r="C22" s="3118"/>
      <c r="D22" s="3118"/>
      <c r="E22" s="3118"/>
      <c r="F22" s="3118"/>
      <c r="G22" s="3118"/>
      <c r="H22" s="3118"/>
      <c r="I22" s="3118"/>
      <c r="J22" s="3135"/>
      <c r="K22" s="3136"/>
    </row>
    <row r="23" spans="1:26" s="615" customFormat="1" ht="52.5" customHeight="1">
      <c r="A23" s="3122" t="s">
        <v>20</v>
      </c>
      <c r="B23" s="3123"/>
      <c r="C23" s="3124"/>
      <c r="D23" s="3124"/>
      <c r="E23" s="3124"/>
      <c r="F23" s="3124"/>
      <c r="G23" s="3124"/>
      <c r="H23" s="3124"/>
      <c r="I23" s="3124"/>
      <c r="J23" s="3124"/>
      <c r="K23" s="3125"/>
    </row>
    <row r="24" spans="1:26" s="616" customFormat="1" ht="37.5" customHeight="1">
      <c r="A24" s="2053"/>
      <c r="B24" s="3114"/>
      <c r="C24" s="3114"/>
      <c r="D24" s="3114"/>
      <c r="E24" s="3114"/>
      <c r="F24" s="3114"/>
      <c r="G24" s="3114"/>
      <c r="H24" s="3114"/>
      <c r="I24" s="3114"/>
      <c r="J24" s="3114"/>
      <c r="K24" s="2055"/>
    </row>
    <row r="25" spans="1:26" s="617" customFormat="1" ht="18" customHeight="1">
      <c r="A25" s="3120"/>
      <c r="B25" s="3121"/>
      <c r="C25" s="2059" t="s">
        <v>10</v>
      </c>
      <c r="D25" s="1903"/>
      <c r="E25" s="1904"/>
      <c r="F25" s="1902" t="s">
        <v>11</v>
      </c>
      <c r="G25" s="1903"/>
      <c r="H25" s="1904"/>
      <c r="I25" s="1902" t="s">
        <v>12</v>
      </c>
      <c r="J25" s="1903"/>
      <c r="K25" s="1904"/>
    </row>
    <row r="26" spans="1:26" s="617" customFormat="1" ht="46.5" customHeight="1">
      <c r="A26" s="3112" t="s">
        <v>13</v>
      </c>
      <c r="B26" s="3113"/>
      <c r="C26" s="3109"/>
      <c r="D26" s="3110"/>
      <c r="E26" s="3111"/>
      <c r="F26" s="3092"/>
      <c r="G26" s="3092"/>
      <c r="H26" s="3093"/>
      <c r="I26" s="3094"/>
      <c r="J26" s="3092"/>
      <c r="K26" s="3093"/>
    </row>
    <row r="27" spans="1:26" s="617" customFormat="1" ht="18" customHeight="1">
      <c r="A27" s="3112" t="s">
        <v>622</v>
      </c>
      <c r="B27" s="3113"/>
      <c r="C27" s="1796" t="s">
        <v>560</v>
      </c>
      <c r="D27" s="1797"/>
      <c r="E27" s="1798"/>
      <c r="F27" s="3095" t="s">
        <v>560</v>
      </c>
      <c r="G27" s="2293"/>
      <c r="H27" s="3096"/>
      <c r="I27" s="3097" t="s">
        <v>560</v>
      </c>
      <c r="J27" s="2293"/>
      <c r="K27" s="3096"/>
    </row>
    <row r="28" spans="1:26" s="617" customFormat="1" ht="18" customHeight="1" thickBot="1">
      <c r="A28" s="3107" t="s">
        <v>14</v>
      </c>
      <c r="B28" s="3108"/>
      <c r="C28" s="3104" t="str">
        <f>IF(C27="--","",VLOOKUP(C27,firmas!A2:B31,2,0))</f>
        <v/>
      </c>
      <c r="D28" s="3105"/>
      <c r="E28" s="3106"/>
      <c r="F28" s="3098" t="str">
        <f>IF(F27="--","",VLOOKUP(F27,firmas!A33:B35,2,0))</f>
        <v/>
      </c>
      <c r="G28" s="3098"/>
      <c r="H28" s="3099"/>
      <c r="I28" s="3100" t="str">
        <f>IF(I27="--","",VLOOKUP(I27,firmas!A37:B38,2))</f>
        <v/>
      </c>
      <c r="J28" s="3098"/>
      <c r="K28" s="3099"/>
    </row>
    <row r="29" spans="1:26" s="617" customFormat="1" ht="14.1" customHeight="1" thickTop="1" thickBot="1">
      <c r="A29" s="3101" t="s">
        <v>24</v>
      </c>
      <c r="B29" s="3102"/>
      <c r="C29" s="3102"/>
      <c r="D29" s="3102"/>
      <c r="E29" s="3102"/>
      <c r="F29" s="3102"/>
      <c r="G29" s="3102"/>
      <c r="H29" s="3102"/>
      <c r="I29" s="3102"/>
      <c r="J29" s="3102"/>
      <c r="K29" s="3102"/>
    </row>
    <row r="30" spans="1:26" s="617" customFormat="1" ht="21.95" customHeight="1" thickTop="1">
      <c r="A30" s="3103" t="s">
        <v>161</v>
      </c>
      <c r="B30" s="3103"/>
      <c r="C30" s="3103"/>
      <c r="D30" s="3103"/>
      <c r="E30" s="3103"/>
      <c r="F30" s="3103"/>
      <c r="G30" s="3103"/>
      <c r="H30" s="3103"/>
      <c r="I30" s="3103"/>
      <c r="J30" s="3103"/>
      <c r="K30" s="3103"/>
    </row>
    <row r="31" spans="1:26" s="617" customFormat="1" ht="32.1" customHeight="1">
      <c r="A31" s="3091" t="s">
        <v>188</v>
      </c>
      <c r="B31" s="3091"/>
      <c r="C31" s="3091"/>
      <c r="D31" s="3091"/>
      <c r="E31" s="3091"/>
      <c r="F31" s="3091"/>
      <c r="G31" s="3091"/>
      <c r="H31" s="3091"/>
      <c r="I31" s="3091"/>
      <c r="J31" s="3091"/>
      <c r="K31" s="3091"/>
    </row>
    <row r="32" spans="1:26" ht="18" customHeight="1">
      <c r="J32" s="618"/>
      <c r="K32" s="618"/>
      <c r="V32" s="617"/>
      <c r="W32" s="617"/>
      <c r="X32" s="617"/>
      <c r="Y32" s="617"/>
      <c r="Z32" s="617"/>
    </row>
  </sheetData>
  <sheetProtection algorithmName="SHA-512" hashValue="xk55KrOrdJp6m7L3nysx83jGeFUJD0BOnk7knotwwD3hS34FFxX/N9tVffFpyxvunZeWoP4w2o4JTaKMbkOewg==" saltValue="5WWO/j2z0SvH3Z9I2nmB4w==" spinCount="100000" sheet="1" objects="1" scenarios="1"/>
  <mergeCells count="72">
    <mergeCell ref="F14:F15"/>
    <mergeCell ref="G15:H15"/>
    <mergeCell ref="J6:K6"/>
    <mergeCell ref="J7:K7"/>
    <mergeCell ref="J8:K8"/>
    <mergeCell ref="H6:I6"/>
    <mergeCell ref="A13:K13"/>
    <mergeCell ref="A14:D14"/>
    <mergeCell ref="G14:H14"/>
    <mergeCell ref="J14:K14"/>
    <mergeCell ref="J15:K15"/>
    <mergeCell ref="F7:G7"/>
    <mergeCell ref="A15:B15"/>
    <mergeCell ref="C15:D15"/>
    <mergeCell ref="H8:I8"/>
    <mergeCell ref="E11:G11"/>
    <mergeCell ref="J16:K16"/>
    <mergeCell ref="G17:H17"/>
    <mergeCell ref="J17:K17"/>
    <mergeCell ref="G18:H18"/>
    <mergeCell ref="J18:K18"/>
    <mergeCell ref="G16:H16"/>
    <mergeCell ref="A19:K19"/>
    <mergeCell ref="G20:H20"/>
    <mergeCell ref="J20:K20"/>
    <mergeCell ref="J21:K22"/>
    <mergeCell ref="C20:D20"/>
    <mergeCell ref="A20:B20"/>
    <mergeCell ref="A24:K24"/>
    <mergeCell ref="F25:H25"/>
    <mergeCell ref="I25:K25"/>
    <mergeCell ref="A21:H22"/>
    <mergeCell ref="I21:I22"/>
    <mergeCell ref="C25:E25"/>
    <mergeCell ref="A25:B25"/>
    <mergeCell ref="A23:B23"/>
    <mergeCell ref="C23:K23"/>
    <mergeCell ref="A31:K31"/>
    <mergeCell ref="F26:H26"/>
    <mergeCell ref="I26:K26"/>
    <mergeCell ref="F27:H27"/>
    <mergeCell ref="I27:K27"/>
    <mergeCell ref="F28:H28"/>
    <mergeCell ref="I28:K28"/>
    <mergeCell ref="A29:K29"/>
    <mergeCell ref="A30:K30"/>
    <mergeCell ref="C28:E28"/>
    <mergeCell ref="A28:B28"/>
    <mergeCell ref="C26:E26"/>
    <mergeCell ref="C27:E27"/>
    <mergeCell ref="A27:B27"/>
    <mergeCell ref="A26:B26"/>
    <mergeCell ref="C17:D17"/>
    <mergeCell ref="C18:D18"/>
    <mergeCell ref="A16:B16"/>
    <mergeCell ref="A17:B17"/>
    <mergeCell ref="A18:B18"/>
    <mergeCell ref="C16:D16"/>
    <mergeCell ref="H9:I9"/>
    <mergeCell ref="C5:K5"/>
    <mergeCell ref="C1:K1"/>
    <mergeCell ref="C2:K2"/>
    <mergeCell ref="C3:K3"/>
    <mergeCell ref="C4:G4"/>
    <mergeCell ref="H4:K4"/>
    <mergeCell ref="B6:G6"/>
    <mergeCell ref="B9:G9"/>
    <mergeCell ref="J9:K9"/>
    <mergeCell ref="F8:G8"/>
    <mergeCell ref="B7:D7"/>
    <mergeCell ref="B8:D8"/>
    <mergeCell ref="A1:B5"/>
  </mergeCells>
  <dataValidations count="3">
    <dataValidation type="list" allowBlank="1" showInputMessage="1" showErrorMessage="1" sqref="I27:K27">
      <formula1>aprobonombres</formula1>
    </dataValidation>
    <dataValidation type="list" allowBlank="1" showInputMessage="1" showErrorMessage="1" sqref="F27:H27">
      <formula1>revisonombres</formula1>
    </dataValidation>
    <dataValidation type="list" allowBlank="1" showInputMessage="1" showErrorMessage="1" sqref="C27:E27">
      <formula1>Elaboronombres</formula1>
    </dataValidation>
  </dataValidation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www.umv.gov.co111311&amp;C&amp;6GLAB-FM-012
Página 1 de 1</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T26"/>
  <sheetViews>
    <sheetView showGridLines="0" view="pageBreakPreview" zoomScaleSheetLayoutView="100" workbookViewId="0">
      <selection activeCell="E17" sqref="E17:X17"/>
    </sheetView>
  </sheetViews>
  <sheetFormatPr baseColWidth="10" defaultRowHeight="12.75"/>
  <cols>
    <col min="1" max="1" width="17" style="1044" customWidth="1"/>
    <col min="2" max="11" width="8.7109375" style="1044" customWidth="1"/>
    <col min="12" max="16384" width="11.42578125" style="1044"/>
  </cols>
  <sheetData>
    <row r="1" spans="1:12" ht="15" customHeight="1">
      <c r="A1" s="3166"/>
      <c r="B1" s="2379" t="s">
        <v>163</v>
      </c>
      <c r="C1" s="2380"/>
      <c r="D1" s="2380"/>
      <c r="E1" s="2380"/>
      <c r="F1" s="2380"/>
      <c r="G1" s="2380"/>
      <c r="H1" s="2380"/>
      <c r="I1" s="2380"/>
      <c r="J1" s="2381"/>
    </row>
    <row r="2" spans="1:12" ht="15" customHeight="1">
      <c r="A2" s="3167"/>
      <c r="B2" s="2382" t="s">
        <v>673</v>
      </c>
      <c r="C2" s="2383"/>
      <c r="D2" s="2383"/>
      <c r="E2" s="2383"/>
      <c r="F2" s="2383"/>
      <c r="G2" s="2383"/>
      <c r="H2" s="2383"/>
      <c r="I2" s="2383"/>
      <c r="J2" s="2384"/>
    </row>
    <row r="3" spans="1:12" ht="15" customHeight="1">
      <c r="A3" s="3167"/>
      <c r="B3" s="2382" t="s">
        <v>674</v>
      </c>
      <c r="C3" s="2383"/>
      <c r="D3" s="2383"/>
      <c r="E3" s="2383"/>
      <c r="F3" s="2383"/>
      <c r="G3" s="2383"/>
      <c r="H3" s="2383"/>
      <c r="I3" s="2383"/>
      <c r="J3" s="2384"/>
    </row>
    <row r="4" spans="1:12" ht="12.95" customHeight="1">
      <c r="A4" s="3167"/>
      <c r="B4" s="2956" t="s">
        <v>816</v>
      </c>
      <c r="C4" s="2956"/>
      <c r="D4" s="2956"/>
      <c r="E4" s="2956"/>
      <c r="F4" s="2956" t="s">
        <v>817</v>
      </c>
      <c r="G4" s="2956"/>
      <c r="H4" s="2956"/>
      <c r="I4" s="2956"/>
      <c r="J4" s="2956"/>
    </row>
    <row r="5" spans="1:12" ht="12.95" customHeight="1">
      <c r="A5" s="3168"/>
      <c r="B5" s="2388" t="s">
        <v>804</v>
      </c>
      <c r="C5" s="2389"/>
      <c r="D5" s="2389"/>
      <c r="E5" s="2389"/>
      <c r="F5" s="2389"/>
      <c r="G5" s="2389"/>
      <c r="H5" s="2389"/>
      <c r="I5" s="2389"/>
      <c r="J5" s="2390"/>
    </row>
    <row r="6" spans="1:12" ht="15" customHeight="1">
      <c r="A6" s="75" t="s">
        <v>5</v>
      </c>
      <c r="B6" s="2957" t="str">
        <f>IF('Gradacion '!E6="","",+'Gradacion '!E6)</f>
        <v/>
      </c>
      <c r="C6" s="2957"/>
      <c r="D6" s="2957"/>
      <c r="E6" s="2957"/>
      <c r="F6" s="2957"/>
      <c r="G6" s="3172" t="s">
        <v>324</v>
      </c>
      <c r="H6" s="3172"/>
      <c r="I6" s="3173"/>
      <c r="J6" s="3174"/>
    </row>
    <row r="7" spans="1:12" ht="15" customHeight="1">
      <c r="A7" s="1369" t="s">
        <v>39</v>
      </c>
      <c r="B7" s="1368" t="str">
        <f>IF('Gradacion '!E7="","",+'Gradacion '!E7)</f>
        <v/>
      </c>
      <c r="C7" s="2894" t="s">
        <v>18</v>
      </c>
      <c r="D7" s="2894"/>
      <c r="E7" s="2958" t="str">
        <f>IF('Gradacion '!O7="","",'Gradacion '!O7)</f>
        <v/>
      </c>
      <c r="F7" s="2958"/>
      <c r="G7" s="2894" t="s">
        <v>40</v>
      </c>
      <c r="H7" s="2894"/>
      <c r="I7" s="2402" t="str">
        <f>IF('Gradacion '!AB7="","",+'Gradacion '!AB7)</f>
        <v/>
      </c>
      <c r="J7" s="2491"/>
    </row>
    <row r="8" spans="1:12" ht="15" customHeight="1">
      <c r="A8" s="1369" t="s">
        <v>465</v>
      </c>
      <c r="B8" s="1368" t="str">
        <f>IF('Gradacion '!E8="","",+'Gradacion '!E8)</f>
        <v/>
      </c>
      <c r="C8" s="2894" t="s">
        <v>19</v>
      </c>
      <c r="D8" s="2894"/>
      <c r="E8" s="2958" t="str">
        <f>IF('Gradacion '!O8="","",'Gradacion '!O8)</f>
        <v/>
      </c>
      <c r="F8" s="2958"/>
      <c r="G8" s="2894" t="s">
        <v>407</v>
      </c>
      <c r="H8" s="2894"/>
      <c r="I8" s="2492"/>
      <c r="J8" s="2493"/>
    </row>
    <row r="9" spans="1:12" ht="15" customHeight="1">
      <c r="A9" s="1377" t="s">
        <v>6</v>
      </c>
      <c r="B9" s="2958" t="str">
        <f>IF('Gradacion '!E9="","",+'Gradacion '!E9)</f>
        <v/>
      </c>
      <c r="C9" s="2958"/>
      <c r="D9" s="2958"/>
      <c r="E9" s="2958"/>
      <c r="F9" s="2958"/>
      <c r="G9" s="3177" t="s">
        <v>633</v>
      </c>
      <c r="H9" s="3177"/>
      <c r="I9" s="3175" t="str">
        <f>IF('Gradacion '!AB9="","",+'Gradacion '!AB9)</f>
        <v/>
      </c>
      <c r="J9" s="3176"/>
    </row>
    <row r="10" spans="1:12" ht="24.95" customHeight="1">
      <c r="A10" s="1045"/>
      <c r="B10" s="1046"/>
      <c r="C10" s="1046"/>
      <c r="D10" s="1046"/>
      <c r="E10" s="1046"/>
      <c r="F10" s="1046"/>
      <c r="G10" s="1046"/>
      <c r="H10" s="1046"/>
      <c r="I10" s="1046"/>
      <c r="J10" s="1047"/>
    </row>
    <row r="11" spans="1:12" ht="24.95" customHeight="1">
      <c r="A11" s="1048"/>
      <c r="B11" s="3169" t="s">
        <v>675</v>
      </c>
      <c r="C11" s="3170"/>
      <c r="D11" s="3170"/>
      <c r="E11" s="3170"/>
      <c r="F11" s="3170"/>
      <c r="G11" s="3170"/>
      <c r="H11" s="3170"/>
      <c r="I11" s="3171"/>
      <c r="J11" s="1049"/>
    </row>
    <row r="12" spans="1:12" ht="24.95" customHeight="1">
      <c r="A12" s="1048"/>
      <c r="B12" s="3181" t="s">
        <v>397</v>
      </c>
      <c r="C12" s="3182"/>
      <c r="D12" s="3182"/>
      <c r="E12" s="3182"/>
      <c r="F12" s="3182"/>
      <c r="G12" s="1050" t="s">
        <v>167</v>
      </c>
      <c r="H12" s="3183"/>
      <c r="I12" s="3184"/>
      <c r="J12" s="1049"/>
    </row>
    <row r="13" spans="1:12" ht="24.95" customHeight="1">
      <c r="A13" s="1048"/>
      <c r="B13" s="3181" t="s">
        <v>676</v>
      </c>
      <c r="C13" s="3182"/>
      <c r="D13" s="3182"/>
      <c r="E13" s="3182"/>
      <c r="F13" s="3182"/>
      <c r="G13" s="1051"/>
      <c r="H13" s="3185"/>
      <c r="I13" s="3186"/>
      <c r="J13" s="1049"/>
      <c r="K13" s="1044" t="str">
        <f>+IF(H14="","",((H14-H15)/H14*100))</f>
        <v/>
      </c>
    </row>
    <row r="14" spans="1:12" ht="24.95" customHeight="1">
      <c r="A14" s="1052"/>
      <c r="B14" s="3187" t="s">
        <v>677</v>
      </c>
      <c r="C14" s="3188"/>
      <c r="D14" s="3188"/>
      <c r="E14" s="3188"/>
      <c r="F14" s="3188"/>
      <c r="G14" s="1053" t="s">
        <v>91</v>
      </c>
      <c r="H14" s="3189"/>
      <c r="I14" s="3190"/>
      <c r="J14" s="1054"/>
      <c r="K14" s="1055"/>
      <c r="L14" s="1055" t="s">
        <v>678</v>
      </c>
    </row>
    <row r="15" spans="1:12" ht="24.95" customHeight="1">
      <c r="A15" s="1052"/>
      <c r="B15" s="3191" t="s">
        <v>679</v>
      </c>
      <c r="C15" s="3192"/>
      <c r="D15" s="3192"/>
      <c r="E15" s="3192"/>
      <c r="F15" s="3192"/>
      <c r="G15" s="1053" t="s">
        <v>91</v>
      </c>
      <c r="H15" s="3189"/>
      <c r="I15" s="3190"/>
      <c r="J15" s="1054"/>
      <c r="K15" s="1056" t="s">
        <v>680</v>
      </c>
      <c r="L15" s="1057" t="s">
        <v>681</v>
      </c>
    </row>
    <row r="16" spans="1:12" ht="24.95" customHeight="1">
      <c r="A16" s="1052"/>
      <c r="B16" s="3193" t="s">
        <v>682</v>
      </c>
      <c r="C16" s="3194"/>
      <c r="D16" s="3194"/>
      <c r="E16" s="3194"/>
      <c r="F16" s="3194"/>
      <c r="G16" s="1058" t="s">
        <v>95</v>
      </c>
      <c r="H16" s="3195" t="str">
        <f>+IF(H13="","",(IF(K13&lt;10,FIXED(K13,1,0),FIXED(K13,0,0))))</f>
        <v/>
      </c>
      <c r="I16" s="3196"/>
      <c r="J16" s="1054"/>
      <c r="K16" s="1056"/>
      <c r="L16" s="1059" t="s">
        <v>683</v>
      </c>
    </row>
    <row r="17" spans="1:20" ht="24.95" customHeight="1">
      <c r="A17" s="1060"/>
      <c r="B17" s="1061"/>
      <c r="C17" s="1062"/>
      <c r="D17" s="1063"/>
      <c r="E17" s="1061"/>
      <c r="F17" s="1064"/>
      <c r="G17" s="1064"/>
      <c r="H17" s="1065"/>
      <c r="I17" s="1061"/>
      <c r="J17" s="1066"/>
    </row>
    <row r="18" spans="1:20" s="89" customFormat="1" ht="24.75" customHeight="1">
      <c r="A18" s="1067" t="s">
        <v>20</v>
      </c>
      <c r="B18" s="3197"/>
      <c r="C18" s="3197"/>
      <c r="D18" s="3197"/>
      <c r="E18" s="3197"/>
      <c r="F18" s="3197"/>
      <c r="G18" s="3197"/>
      <c r="H18" s="3197"/>
      <c r="I18" s="3197"/>
      <c r="J18" s="3198"/>
      <c r="K18" s="1068"/>
    </row>
    <row r="19" spans="1:20" s="84" customFormat="1" ht="56.25" customHeight="1">
      <c r="A19" s="3178"/>
      <c r="B19" s="3179"/>
      <c r="C19" s="3179"/>
      <c r="D19" s="3179"/>
      <c r="E19" s="3179"/>
      <c r="F19" s="3179"/>
      <c r="G19" s="3179"/>
      <c r="H19" s="3179"/>
      <c r="I19" s="3179"/>
      <c r="J19" s="3180"/>
    </row>
    <row r="20" spans="1:20" s="84" customFormat="1" ht="15.75" customHeight="1">
      <c r="A20" s="1069"/>
      <c r="B20" s="3199" t="s">
        <v>10</v>
      </c>
      <c r="C20" s="3200"/>
      <c r="D20" s="3201"/>
      <c r="E20" s="3199" t="s">
        <v>22</v>
      </c>
      <c r="F20" s="3200"/>
      <c r="G20" s="3201"/>
      <c r="H20" s="3200" t="s">
        <v>23</v>
      </c>
      <c r="I20" s="3200"/>
      <c r="J20" s="3202"/>
    </row>
    <row r="21" spans="1:20" s="84" customFormat="1" ht="45" customHeight="1">
      <c r="A21" s="1070" t="s">
        <v>13</v>
      </c>
      <c r="B21" s="3203"/>
      <c r="C21" s="3204"/>
      <c r="D21" s="3205"/>
      <c r="E21" s="3206"/>
      <c r="F21" s="3207"/>
      <c r="G21" s="3208"/>
      <c r="H21" s="3207"/>
      <c r="I21" s="3207"/>
      <c r="J21" s="3209"/>
    </row>
    <row r="22" spans="1:20" s="84" customFormat="1" ht="17.25" customHeight="1">
      <c r="A22" s="1070" t="s">
        <v>684</v>
      </c>
      <c r="B22" s="3097" t="s">
        <v>560</v>
      </c>
      <c r="C22" s="2293"/>
      <c r="D22" s="3096"/>
      <c r="E22" s="3097" t="s">
        <v>560</v>
      </c>
      <c r="F22" s="2293"/>
      <c r="G22" s="3096"/>
      <c r="H22" s="3095" t="s">
        <v>560</v>
      </c>
      <c r="I22" s="2293"/>
      <c r="J22" s="2294"/>
    </row>
    <row r="23" spans="1:20" s="84" customFormat="1" ht="18" customHeight="1" thickBot="1">
      <c r="A23" s="1071" t="s">
        <v>14</v>
      </c>
      <c r="B23" s="3211" t="str">
        <f>IF(B22="--","",VLOOKUP(B22,firmas!A2:B31,2,0))</f>
        <v/>
      </c>
      <c r="C23" s="3212"/>
      <c r="D23" s="3213"/>
      <c r="E23" s="3211" t="str">
        <f>IF(E22="--","",VLOOKUP(E22,firmas!A33:B35,2,0))</f>
        <v/>
      </c>
      <c r="F23" s="3212"/>
      <c r="G23" s="3213"/>
      <c r="H23" s="3212" t="str">
        <f>IF(H22="--","",VLOOKUP(H22,[30]firmas!A33:B34,2))</f>
        <v/>
      </c>
      <c r="I23" s="3212"/>
      <c r="J23" s="3214"/>
    </row>
    <row r="24" spans="1:20" s="91" customFormat="1" ht="18" customHeight="1" thickTop="1" thickBot="1">
      <c r="A24" s="3210" t="s">
        <v>24</v>
      </c>
      <c r="B24" s="3210"/>
      <c r="C24" s="3210"/>
      <c r="D24" s="3210"/>
      <c r="E24" s="3210"/>
      <c r="F24" s="3210"/>
      <c r="G24" s="3210"/>
      <c r="H24" s="3210"/>
      <c r="I24" s="3210"/>
      <c r="J24" s="3210"/>
      <c r="K24" s="1072"/>
      <c r="L24" s="1072"/>
      <c r="M24" s="1072"/>
      <c r="N24" s="1072"/>
      <c r="O24" s="1072"/>
      <c r="P24" s="1072"/>
      <c r="Q24" s="1072"/>
      <c r="R24" s="1072"/>
      <c r="S24" s="1072"/>
      <c r="T24" s="1072"/>
    </row>
    <row r="25" spans="1:20" s="84" customFormat="1" ht="18.75" customHeight="1" thickTop="1">
      <c r="A25" s="2464" t="s">
        <v>25</v>
      </c>
      <c r="B25" s="2464"/>
      <c r="C25" s="2464"/>
      <c r="D25" s="2464"/>
      <c r="E25" s="2464"/>
      <c r="F25" s="2464"/>
      <c r="G25" s="2464"/>
      <c r="H25" s="2464"/>
      <c r="I25" s="2464"/>
      <c r="J25" s="2464"/>
      <c r="K25" s="1073"/>
      <c r="L25" s="1073"/>
      <c r="M25" s="1073"/>
      <c r="N25" s="1073"/>
      <c r="O25" s="1073"/>
      <c r="P25" s="1073"/>
      <c r="Q25" s="1073"/>
      <c r="R25" s="1073"/>
      <c r="S25" s="1073"/>
      <c r="T25" s="1073"/>
    </row>
    <row r="26" spans="1:20" s="84" customFormat="1" ht="30" customHeight="1">
      <c r="A26" s="2274" t="s">
        <v>16</v>
      </c>
      <c r="B26" s="2274"/>
      <c r="C26" s="2274"/>
      <c r="D26" s="2274"/>
      <c r="E26" s="2274"/>
      <c r="F26" s="2274"/>
      <c r="G26" s="2274"/>
      <c r="H26" s="2274"/>
      <c r="I26" s="2274"/>
      <c r="J26" s="2274"/>
      <c r="K26" s="1074"/>
      <c r="L26" s="1074"/>
      <c r="M26" s="1074"/>
      <c r="N26" s="1074"/>
      <c r="O26" s="1074"/>
      <c r="P26" s="1074"/>
      <c r="Q26" s="1074"/>
      <c r="R26" s="1074"/>
      <c r="S26" s="1074"/>
      <c r="T26" s="1074"/>
    </row>
  </sheetData>
  <sheetProtection algorithmName="SHA-512" hashValue="Bqy3znyoOshXvQLbJqqBQYhqJfyH/5IbRhh6p84sYGist2wjBBVfnZU77+98skiPCkLBJYxrjkzoEV7C9YWuEA==" saltValue="rPsnc3N6qKljmtSKCb2Tpw==" spinCount="100000" sheet="1" formatCells="0"/>
  <mergeCells count="49">
    <mergeCell ref="A24:J24"/>
    <mergeCell ref="A25:J25"/>
    <mergeCell ref="A26:J26"/>
    <mergeCell ref="B22:D22"/>
    <mergeCell ref="E22:G22"/>
    <mergeCell ref="H22:J22"/>
    <mergeCell ref="B23:D23"/>
    <mergeCell ref="E23:G23"/>
    <mergeCell ref="H23:J23"/>
    <mergeCell ref="B20:D20"/>
    <mergeCell ref="E20:G20"/>
    <mergeCell ref="H20:J20"/>
    <mergeCell ref="B21:D21"/>
    <mergeCell ref="E21:G21"/>
    <mergeCell ref="H21:J21"/>
    <mergeCell ref="A19:J19"/>
    <mergeCell ref="B12:F12"/>
    <mergeCell ref="H12:I12"/>
    <mergeCell ref="B13:F13"/>
    <mergeCell ref="H13:I13"/>
    <mergeCell ref="B14:F14"/>
    <mergeCell ref="H14:I14"/>
    <mergeCell ref="B15:F15"/>
    <mergeCell ref="H15:I15"/>
    <mergeCell ref="B16:F16"/>
    <mergeCell ref="H16:I16"/>
    <mergeCell ref="B18:J18"/>
    <mergeCell ref="B11:I11"/>
    <mergeCell ref="G6:H6"/>
    <mergeCell ref="I6:J6"/>
    <mergeCell ref="G7:H7"/>
    <mergeCell ref="I7:J7"/>
    <mergeCell ref="G8:H8"/>
    <mergeCell ref="I8:J8"/>
    <mergeCell ref="I9:J9"/>
    <mergeCell ref="B6:F6"/>
    <mergeCell ref="C7:D7"/>
    <mergeCell ref="E7:F7"/>
    <mergeCell ref="C8:D8"/>
    <mergeCell ref="E8:F8"/>
    <mergeCell ref="B9:F9"/>
    <mergeCell ref="G9:H9"/>
    <mergeCell ref="A1:A5"/>
    <mergeCell ref="B1:J1"/>
    <mergeCell ref="B2:J2"/>
    <mergeCell ref="B3:J3"/>
    <mergeCell ref="B4:E4"/>
    <mergeCell ref="F4:J4"/>
    <mergeCell ref="B5:J5"/>
  </mergeCells>
  <dataValidations count="1">
    <dataValidation type="list" allowBlank="1" showInputMessage="1" showErrorMessage="1" sqref="H13:I13">
      <formula1>$L$15:$L$16</formula1>
    </dataValidation>
  </dataValidations>
  <printOptions horizontalCentered="1"/>
  <pageMargins left="0.59055118110236227" right="0.19685039370078741" top="0" bottom="0" header="0" footer="0.78740157480314965"/>
  <pageSetup orientation="portrait" r:id="rId1"/>
  <headerFooter alignWithMargins="0">
    <oddFooter>&amp;L&amp;"Arial,Normal"&amp;6Calle 26 No. 57-41 Torre 8 Pisos 7-8 CEMSA - CP: 1113111            
Pbx: 3779555  - Información: Línea 195     
www.umv.gov.co111311&amp;C&amp;6GLAB-FM-014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H22:J22</xm:sqref>
        </x14:dataValidation>
        <x14:dataValidation type="list" allowBlank="1" showInputMessage="1" showErrorMessage="1">
          <x14:formula1>
            <xm:f>firmas!$A$2:$A$31</xm:f>
          </x14:formula1>
          <xm:sqref>B22:D22</xm:sqref>
        </x14:dataValidation>
        <x14:dataValidation type="list" allowBlank="1" showInputMessage="1" showErrorMessage="1">
          <x14:formula1>
            <xm:f>firmas!$A$33:$A$35</xm:f>
          </x14:formula1>
          <xm:sqref>E22:G22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52"/>
  <sheetViews>
    <sheetView showGridLines="0" view="pageBreakPreview" zoomScaleSheetLayoutView="100" workbookViewId="0">
      <selection activeCell="E17" sqref="E17:X17"/>
    </sheetView>
  </sheetViews>
  <sheetFormatPr baseColWidth="10" defaultColWidth="2.7109375" defaultRowHeight="12.95" customHeight="1"/>
  <cols>
    <col min="1" max="36" width="2.7109375" style="1078" customWidth="1"/>
    <col min="37" max="256" width="2.7109375" style="1078"/>
    <col min="257" max="292" width="2.7109375" style="1078" customWidth="1"/>
    <col min="293" max="512" width="2.7109375" style="1078"/>
    <col min="513" max="548" width="2.7109375" style="1078" customWidth="1"/>
    <col min="549" max="768" width="2.7109375" style="1078"/>
    <col min="769" max="804" width="2.7109375" style="1078" customWidth="1"/>
    <col min="805" max="1024" width="2.7109375" style="1078"/>
    <col min="1025" max="1060" width="2.7109375" style="1078" customWidth="1"/>
    <col min="1061" max="1280" width="2.7109375" style="1078"/>
    <col min="1281" max="1316" width="2.7109375" style="1078" customWidth="1"/>
    <col min="1317" max="1536" width="2.7109375" style="1078"/>
    <col min="1537" max="1572" width="2.7109375" style="1078" customWidth="1"/>
    <col min="1573" max="1792" width="2.7109375" style="1078"/>
    <col min="1793" max="1828" width="2.7109375" style="1078" customWidth="1"/>
    <col min="1829" max="2048" width="2.7109375" style="1078"/>
    <col min="2049" max="2084" width="2.7109375" style="1078" customWidth="1"/>
    <col min="2085" max="2304" width="2.7109375" style="1078"/>
    <col min="2305" max="2340" width="2.7109375" style="1078" customWidth="1"/>
    <col min="2341" max="2560" width="2.7109375" style="1078"/>
    <col min="2561" max="2596" width="2.7109375" style="1078" customWidth="1"/>
    <col min="2597" max="2816" width="2.7109375" style="1078"/>
    <col min="2817" max="2852" width="2.7109375" style="1078" customWidth="1"/>
    <col min="2853" max="3072" width="2.7109375" style="1078"/>
    <col min="3073" max="3108" width="2.7109375" style="1078" customWidth="1"/>
    <col min="3109" max="3328" width="2.7109375" style="1078"/>
    <col min="3329" max="3364" width="2.7109375" style="1078" customWidth="1"/>
    <col min="3365" max="3584" width="2.7109375" style="1078"/>
    <col min="3585" max="3620" width="2.7109375" style="1078" customWidth="1"/>
    <col min="3621" max="3840" width="2.7109375" style="1078"/>
    <col min="3841" max="3876" width="2.7109375" style="1078" customWidth="1"/>
    <col min="3877" max="4096" width="2.7109375" style="1078"/>
    <col min="4097" max="4132" width="2.7109375" style="1078" customWidth="1"/>
    <col min="4133" max="4352" width="2.7109375" style="1078"/>
    <col min="4353" max="4388" width="2.7109375" style="1078" customWidth="1"/>
    <col min="4389" max="4608" width="2.7109375" style="1078"/>
    <col min="4609" max="4644" width="2.7109375" style="1078" customWidth="1"/>
    <col min="4645" max="4864" width="2.7109375" style="1078"/>
    <col min="4865" max="4900" width="2.7109375" style="1078" customWidth="1"/>
    <col min="4901" max="5120" width="2.7109375" style="1078"/>
    <col min="5121" max="5156" width="2.7109375" style="1078" customWidth="1"/>
    <col min="5157" max="5376" width="2.7109375" style="1078"/>
    <col min="5377" max="5412" width="2.7109375" style="1078" customWidth="1"/>
    <col min="5413" max="5632" width="2.7109375" style="1078"/>
    <col min="5633" max="5668" width="2.7109375" style="1078" customWidth="1"/>
    <col min="5669" max="5888" width="2.7109375" style="1078"/>
    <col min="5889" max="5924" width="2.7109375" style="1078" customWidth="1"/>
    <col min="5925" max="6144" width="2.7109375" style="1078"/>
    <col min="6145" max="6180" width="2.7109375" style="1078" customWidth="1"/>
    <col min="6181" max="6400" width="2.7109375" style="1078"/>
    <col min="6401" max="6436" width="2.7109375" style="1078" customWidth="1"/>
    <col min="6437" max="6656" width="2.7109375" style="1078"/>
    <col min="6657" max="6692" width="2.7109375" style="1078" customWidth="1"/>
    <col min="6693" max="6912" width="2.7109375" style="1078"/>
    <col min="6913" max="6948" width="2.7109375" style="1078" customWidth="1"/>
    <col min="6949" max="7168" width="2.7109375" style="1078"/>
    <col min="7169" max="7204" width="2.7109375" style="1078" customWidth="1"/>
    <col min="7205" max="7424" width="2.7109375" style="1078"/>
    <col min="7425" max="7460" width="2.7109375" style="1078" customWidth="1"/>
    <col min="7461" max="7680" width="2.7109375" style="1078"/>
    <col min="7681" max="7716" width="2.7109375" style="1078" customWidth="1"/>
    <col min="7717" max="7936" width="2.7109375" style="1078"/>
    <col min="7937" max="7972" width="2.7109375" style="1078" customWidth="1"/>
    <col min="7973" max="8192" width="2.7109375" style="1078"/>
    <col min="8193" max="8228" width="2.7109375" style="1078" customWidth="1"/>
    <col min="8229" max="8448" width="2.7109375" style="1078"/>
    <col min="8449" max="8484" width="2.7109375" style="1078" customWidth="1"/>
    <col min="8485" max="8704" width="2.7109375" style="1078"/>
    <col min="8705" max="8740" width="2.7109375" style="1078" customWidth="1"/>
    <col min="8741" max="8960" width="2.7109375" style="1078"/>
    <col min="8961" max="8996" width="2.7109375" style="1078" customWidth="1"/>
    <col min="8997" max="9216" width="2.7109375" style="1078"/>
    <col min="9217" max="9252" width="2.7109375" style="1078" customWidth="1"/>
    <col min="9253" max="9472" width="2.7109375" style="1078"/>
    <col min="9473" max="9508" width="2.7109375" style="1078" customWidth="1"/>
    <col min="9509" max="9728" width="2.7109375" style="1078"/>
    <col min="9729" max="9764" width="2.7109375" style="1078" customWidth="1"/>
    <col min="9765" max="9984" width="2.7109375" style="1078"/>
    <col min="9985" max="10020" width="2.7109375" style="1078" customWidth="1"/>
    <col min="10021" max="10240" width="2.7109375" style="1078"/>
    <col min="10241" max="10276" width="2.7109375" style="1078" customWidth="1"/>
    <col min="10277" max="10496" width="2.7109375" style="1078"/>
    <col min="10497" max="10532" width="2.7109375" style="1078" customWidth="1"/>
    <col min="10533" max="10752" width="2.7109375" style="1078"/>
    <col min="10753" max="10788" width="2.7109375" style="1078" customWidth="1"/>
    <col min="10789" max="11008" width="2.7109375" style="1078"/>
    <col min="11009" max="11044" width="2.7109375" style="1078" customWidth="1"/>
    <col min="11045" max="11264" width="2.7109375" style="1078"/>
    <col min="11265" max="11300" width="2.7109375" style="1078" customWidth="1"/>
    <col min="11301" max="11520" width="2.7109375" style="1078"/>
    <col min="11521" max="11556" width="2.7109375" style="1078" customWidth="1"/>
    <col min="11557" max="11776" width="2.7109375" style="1078"/>
    <col min="11777" max="11812" width="2.7109375" style="1078" customWidth="1"/>
    <col min="11813" max="12032" width="2.7109375" style="1078"/>
    <col min="12033" max="12068" width="2.7109375" style="1078" customWidth="1"/>
    <col min="12069" max="12288" width="2.7109375" style="1078"/>
    <col min="12289" max="12324" width="2.7109375" style="1078" customWidth="1"/>
    <col min="12325" max="12544" width="2.7109375" style="1078"/>
    <col min="12545" max="12580" width="2.7109375" style="1078" customWidth="1"/>
    <col min="12581" max="12800" width="2.7109375" style="1078"/>
    <col min="12801" max="12836" width="2.7109375" style="1078" customWidth="1"/>
    <col min="12837" max="13056" width="2.7109375" style="1078"/>
    <col min="13057" max="13092" width="2.7109375" style="1078" customWidth="1"/>
    <col min="13093" max="13312" width="2.7109375" style="1078"/>
    <col min="13313" max="13348" width="2.7109375" style="1078" customWidth="1"/>
    <col min="13349" max="13568" width="2.7109375" style="1078"/>
    <col min="13569" max="13604" width="2.7109375" style="1078" customWidth="1"/>
    <col min="13605" max="13824" width="2.7109375" style="1078"/>
    <col min="13825" max="13860" width="2.7109375" style="1078" customWidth="1"/>
    <col min="13861" max="14080" width="2.7109375" style="1078"/>
    <col min="14081" max="14116" width="2.7109375" style="1078" customWidth="1"/>
    <col min="14117" max="14336" width="2.7109375" style="1078"/>
    <col min="14337" max="14372" width="2.7109375" style="1078" customWidth="1"/>
    <col min="14373" max="14592" width="2.7109375" style="1078"/>
    <col min="14593" max="14628" width="2.7109375" style="1078" customWidth="1"/>
    <col min="14629" max="14848" width="2.7109375" style="1078"/>
    <col min="14849" max="14884" width="2.7109375" style="1078" customWidth="1"/>
    <col min="14885" max="15104" width="2.7109375" style="1078"/>
    <col min="15105" max="15140" width="2.7109375" style="1078" customWidth="1"/>
    <col min="15141" max="15360" width="2.7109375" style="1078"/>
    <col min="15361" max="15396" width="2.7109375" style="1078" customWidth="1"/>
    <col min="15397" max="15616" width="2.7109375" style="1078"/>
    <col min="15617" max="15652" width="2.7109375" style="1078" customWidth="1"/>
    <col min="15653" max="15872" width="2.7109375" style="1078"/>
    <col min="15873" max="15908" width="2.7109375" style="1078" customWidth="1"/>
    <col min="15909" max="16128" width="2.7109375" style="1078"/>
    <col min="16129" max="16164" width="2.7109375" style="1078" customWidth="1"/>
    <col min="16165" max="16384" width="2.7109375" style="1078"/>
  </cols>
  <sheetData>
    <row r="1" spans="1:37" ht="15" customHeight="1">
      <c r="A1" s="1075"/>
      <c r="B1" s="1076"/>
      <c r="C1" s="1076"/>
      <c r="D1" s="1076"/>
      <c r="E1" s="1076"/>
      <c r="F1" s="1076"/>
      <c r="G1" s="1077"/>
      <c r="H1" s="3223" t="s">
        <v>37</v>
      </c>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5"/>
    </row>
    <row r="2" spans="1:37" ht="15" customHeight="1">
      <c r="A2" s="1079"/>
      <c r="B2" s="1080"/>
      <c r="C2" s="1080"/>
      <c r="D2" s="1080"/>
      <c r="E2" s="1080"/>
      <c r="F2" s="1080"/>
      <c r="G2" s="1081"/>
      <c r="H2" s="3226" t="s">
        <v>685</v>
      </c>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8"/>
    </row>
    <row r="3" spans="1:37" ht="15" customHeight="1">
      <c r="A3" s="1079"/>
      <c r="B3" s="1080"/>
      <c r="C3" s="1080"/>
      <c r="D3" s="1080"/>
      <c r="E3" s="1080"/>
      <c r="F3" s="1080"/>
      <c r="G3" s="1081"/>
      <c r="H3" s="3229" t="s">
        <v>686</v>
      </c>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1"/>
    </row>
    <row r="4" spans="1:37" ht="12.95" customHeight="1">
      <c r="A4" s="1079"/>
      <c r="B4" s="1080"/>
      <c r="C4" s="1080"/>
      <c r="D4" s="1080"/>
      <c r="E4" s="1080"/>
      <c r="F4" s="1080"/>
      <c r="G4" s="1081"/>
      <c r="H4" s="3232" t="s">
        <v>820</v>
      </c>
      <c r="I4" s="3233"/>
      <c r="J4" s="3233"/>
      <c r="K4" s="3233"/>
      <c r="L4" s="3233"/>
      <c r="M4" s="3233"/>
      <c r="N4" s="3233"/>
      <c r="O4" s="3233"/>
      <c r="P4" s="3233"/>
      <c r="Q4" s="3233"/>
      <c r="R4" s="3233"/>
      <c r="S4" s="3233"/>
      <c r="T4" s="3233"/>
      <c r="U4" s="3233"/>
      <c r="V4" s="3233"/>
      <c r="W4" s="3233"/>
      <c r="X4" s="3074"/>
      <c r="Y4" s="3232" t="s">
        <v>808</v>
      </c>
      <c r="Z4" s="3233"/>
      <c r="AA4" s="3233"/>
      <c r="AB4" s="3233"/>
      <c r="AC4" s="3233"/>
      <c r="AD4" s="3233"/>
      <c r="AE4" s="3233"/>
      <c r="AF4" s="3233"/>
      <c r="AG4" s="3233"/>
      <c r="AH4" s="3233"/>
      <c r="AI4" s="3233"/>
      <c r="AJ4" s="3074"/>
    </row>
    <row r="5" spans="1:37" ht="12.95" customHeight="1">
      <c r="A5" s="1079"/>
      <c r="B5" s="1080"/>
      <c r="C5" s="1080"/>
      <c r="D5" s="1080"/>
      <c r="E5" s="1080"/>
      <c r="F5" s="1080"/>
      <c r="G5" s="1081"/>
      <c r="H5" s="3220" t="s">
        <v>809</v>
      </c>
      <c r="I5" s="3221"/>
      <c r="J5" s="3221"/>
      <c r="K5" s="3221"/>
      <c r="L5" s="3221"/>
      <c r="M5" s="3221"/>
      <c r="N5" s="3221"/>
      <c r="O5" s="3221"/>
      <c r="P5" s="3221"/>
      <c r="Q5" s="3221"/>
      <c r="R5" s="3221"/>
      <c r="S5" s="3221"/>
      <c r="T5" s="3221"/>
      <c r="U5" s="3221"/>
      <c r="V5" s="3221"/>
      <c r="W5" s="3221"/>
      <c r="X5" s="3221"/>
      <c r="Y5" s="3221"/>
      <c r="Z5" s="3221"/>
      <c r="AA5" s="3221"/>
      <c r="AB5" s="3221"/>
      <c r="AC5" s="3221"/>
      <c r="AD5" s="3221"/>
      <c r="AE5" s="3221"/>
      <c r="AF5" s="3221"/>
      <c r="AG5" s="3221"/>
      <c r="AH5" s="3221"/>
      <c r="AI5" s="3221"/>
      <c r="AJ5" s="3222"/>
    </row>
    <row r="6" spans="1:37" ht="15" customHeight="1">
      <c r="A6" s="3234" t="s">
        <v>5</v>
      </c>
      <c r="B6" s="3235"/>
      <c r="C6" s="3235"/>
      <c r="D6" s="3235"/>
      <c r="E6" s="3236" t="str">
        <f>IF('Gradacion '!E6="","",+'Gradacion '!E6)</f>
        <v/>
      </c>
      <c r="F6" s="3236"/>
      <c r="G6" s="3236"/>
      <c r="H6" s="3236"/>
      <c r="I6" s="3236"/>
      <c r="J6" s="3236"/>
      <c r="K6" s="3236"/>
      <c r="L6" s="3236"/>
      <c r="M6" s="3236"/>
      <c r="N6" s="3236"/>
      <c r="O6" s="3236"/>
      <c r="P6" s="3236"/>
      <c r="Q6" s="3236"/>
      <c r="R6" s="3236"/>
      <c r="S6" s="3236"/>
      <c r="T6" s="3236"/>
      <c r="U6" s="3236"/>
      <c r="V6" s="3236"/>
      <c r="W6" s="3236"/>
      <c r="X6" s="3236"/>
      <c r="Y6" s="3172" t="s">
        <v>324</v>
      </c>
      <c r="Z6" s="3172"/>
      <c r="AA6" s="3172"/>
      <c r="AB6" s="3172"/>
      <c r="AC6" s="3172"/>
      <c r="AD6" s="3172"/>
      <c r="AE6" s="2533"/>
      <c r="AF6" s="2533"/>
      <c r="AG6" s="2533"/>
      <c r="AH6" s="2533"/>
      <c r="AI6" s="2533"/>
      <c r="AJ6" s="2534"/>
    </row>
    <row r="7" spans="1:37" s="1082" customFormat="1" ht="15" customHeight="1">
      <c r="A7" s="3217" t="s">
        <v>17</v>
      </c>
      <c r="B7" s="3218"/>
      <c r="C7" s="3218"/>
      <c r="D7" s="3218"/>
      <c r="E7" s="3219" t="str">
        <f>IF('Gradacion '!E7="","",+'Gradacion '!E7)</f>
        <v/>
      </c>
      <c r="F7" s="3219"/>
      <c r="G7" s="3219"/>
      <c r="H7" s="3219"/>
      <c r="I7" s="3219"/>
      <c r="J7" s="3219"/>
      <c r="K7" s="3219"/>
      <c r="L7" s="3219"/>
      <c r="M7" s="3237" t="s">
        <v>18</v>
      </c>
      <c r="N7" s="3237"/>
      <c r="O7" s="3237"/>
      <c r="P7" s="3237"/>
      <c r="Q7" s="3219" t="str">
        <f>IF('Gradacion '!O7="","",+'Gradacion '!O7)</f>
        <v/>
      </c>
      <c r="R7" s="3219"/>
      <c r="S7" s="3219"/>
      <c r="T7" s="3219"/>
      <c r="U7" s="3219"/>
      <c r="V7" s="3219"/>
      <c r="W7" s="3219"/>
      <c r="X7" s="3219"/>
      <c r="Y7" s="3218" t="s">
        <v>40</v>
      </c>
      <c r="Z7" s="3218"/>
      <c r="AA7" s="3218"/>
      <c r="AB7" s="3218"/>
      <c r="AC7" s="3218"/>
      <c r="AD7" s="3218"/>
      <c r="AE7" s="3238" t="str">
        <f>IF('Gradacion '!AB7="","",'Gradacion '!AB7)</f>
        <v/>
      </c>
      <c r="AF7" s="3238"/>
      <c r="AG7" s="3238"/>
      <c r="AH7" s="3238"/>
      <c r="AI7" s="3238"/>
      <c r="AJ7" s="3239"/>
    </row>
    <row r="8" spans="1:37" s="1082" customFormat="1" ht="15" customHeight="1">
      <c r="A8" s="3217" t="s">
        <v>465</v>
      </c>
      <c r="B8" s="3218"/>
      <c r="C8" s="3218"/>
      <c r="D8" s="3218"/>
      <c r="E8" s="3219" t="str">
        <f>IF('Gradacion '!E8="","",+'Gradacion '!E8)</f>
        <v/>
      </c>
      <c r="F8" s="3219"/>
      <c r="G8" s="3219"/>
      <c r="H8" s="3219"/>
      <c r="I8" s="3219"/>
      <c r="J8" s="3219"/>
      <c r="K8" s="3219"/>
      <c r="L8" s="3219"/>
      <c r="M8" s="3218" t="s">
        <v>19</v>
      </c>
      <c r="N8" s="3218"/>
      <c r="O8" s="3218"/>
      <c r="P8" s="3218"/>
      <c r="Q8" s="3219" t="str">
        <f>IF('Gradacion '!O8="","",+'Gradacion '!O8)</f>
        <v/>
      </c>
      <c r="R8" s="3219"/>
      <c r="S8" s="3219"/>
      <c r="T8" s="3219"/>
      <c r="U8" s="3219"/>
      <c r="V8" s="3219"/>
      <c r="W8" s="3219"/>
      <c r="X8" s="3219"/>
      <c r="Y8" s="3218" t="s">
        <v>407</v>
      </c>
      <c r="Z8" s="3218"/>
      <c r="AA8" s="3218"/>
      <c r="AB8" s="3218"/>
      <c r="AC8" s="3218"/>
      <c r="AD8" s="3218"/>
      <c r="AE8" s="3215"/>
      <c r="AF8" s="3215"/>
      <c r="AG8" s="3215"/>
      <c r="AH8" s="3215"/>
      <c r="AI8" s="3215"/>
      <c r="AJ8" s="3216"/>
    </row>
    <row r="9" spans="1:37" s="1082" customFormat="1" ht="15" customHeight="1">
      <c r="A9" s="3240" t="s">
        <v>6</v>
      </c>
      <c r="B9" s="3241"/>
      <c r="C9" s="3241"/>
      <c r="D9" s="3241"/>
      <c r="E9" s="3242" t="str">
        <f>IF('Gradacion '!E9="","",+'Gradacion '!E9)</f>
        <v/>
      </c>
      <c r="F9" s="3242"/>
      <c r="G9" s="3242"/>
      <c r="H9" s="3242"/>
      <c r="I9" s="3242"/>
      <c r="J9" s="3242"/>
      <c r="K9" s="3242"/>
      <c r="L9" s="3242"/>
      <c r="M9" s="3242"/>
      <c r="N9" s="3242"/>
      <c r="O9" s="3242"/>
      <c r="P9" s="3242"/>
      <c r="Q9" s="3242"/>
      <c r="R9" s="3242"/>
      <c r="S9" s="3242"/>
      <c r="T9" s="3242"/>
      <c r="U9" s="3242"/>
      <c r="V9" s="3242"/>
      <c r="W9" s="3242"/>
      <c r="X9" s="3242"/>
      <c r="Y9" s="3243" t="s">
        <v>633</v>
      </c>
      <c r="Z9" s="3243"/>
      <c r="AA9" s="3243"/>
      <c r="AB9" s="3243"/>
      <c r="AC9" s="3243"/>
      <c r="AD9" s="3243"/>
      <c r="AE9" s="3244" t="str">
        <f>IF('Gradacion '!AB9="","",'Gradacion '!AB9)</f>
        <v/>
      </c>
      <c r="AF9" s="3244"/>
      <c r="AG9" s="3244"/>
      <c r="AH9" s="3244"/>
      <c r="AI9" s="3244"/>
      <c r="AJ9" s="3245"/>
    </row>
    <row r="10" spans="1:37" ht="14.45" customHeight="1">
      <c r="A10" s="3246"/>
      <c r="B10" s="3247"/>
      <c r="C10" s="3247"/>
      <c r="D10" s="3247"/>
      <c r="E10" s="3247"/>
      <c r="F10" s="3247"/>
      <c r="G10" s="3247"/>
      <c r="H10" s="3247"/>
      <c r="I10" s="3247"/>
      <c r="J10" s="3247"/>
      <c r="K10" s="3247"/>
      <c r="L10" s="3247"/>
      <c r="M10" s="3247"/>
      <c r="N10" s="3247"/>
      <c r="O10" s="3247"/>
      <c r="P10" s="3247"/>
      <c r="Q10" s="3247"/>
      <c r="R10" s="3247"/>
      <c r="S10" s="3247"/>
      <c r="T10" s="3247"/>
      <c r="U10" s="1083"/>
      <c r="V10" s="1083"/>
      <c r="W10" s="1083"/>
      <c r="X10" s="1083"/>
      <c r="Y10" s="1083"/>
      <c r="Z10" s="3248"/>
      <c r="AA10" s="3248"/>
      <c r="AB10" s="3248"/>
      <c r="AC10" s="3248"/>
      <c r="AD10" s="3248"/>
      <c r="AE10" s="1083"/>
      <c r="AF10" s="1084"/>
      <c r="AG10" s="1084"/>
      <c r="AH10" s="1084"/>
      <c r="AI10" s="1084"/>
      <c r="AJ10" s="1085"/>
    </row>
    <row r="11" spans="1:37" ht="14.45" customHeight="1">
      <c r="A11" s="3246" t="s">
        <v>687</v>
      </c>
      <c r="B11" s="3247"/>
      <c r="C11" s="3247"/>
      <c r="D11" s="3247"/>
      <c r="E11" s="3247"/>
      <c r="F11" s="3247"/>
      <c r="G11" s="3247"/>
      <c r="H11" s="3247"/>
      <c r="I11" s="3247"/>
      <c r="J11" s="3247"/>
      <c r="K11" s="3247"/>
      <c r="L11" s="3247"/>
      <c r="M11" s="3247"/>
      <c r="N11" s="3247"/>
      <c r="O11" s="3247"/>
      <c r="P11" s="3247"/>
      <c r="Q11" s="3247"/>
      <c r="R11" s="3247"/>
      <c r="S11" s="3247"/>
      <c r="T11" s="3247"/>
      <c r="U11" s="1083"/>
      <c r="V11" s="1083"/>
      <c r="W11" s="1083" t="s">
        <v>211</v>
      </c>
      <c r="X11" s="1083"/>
      <c r="Y11" s="1083"/>
      <c r="Z11" s="3249"/>
      <c r="AA11" s="3249"/>
      <c r="AB11" s="3249"/>
      <c r="AC11" s="3249"/>
      <c r="AD11" s="3249"/>
      <c r="AE11" s="1083"/>
      <c r="AF11" s="1084" t="s">
        <v>91</v>
      </c>
      <c r="AG11" s="1084"/>
      <c r="AH11" s="1084"/>
      <c r="AI11" s="1084"/>
      <c r="AJ11" s="1085"/>
    </row>
    <row r="12" spans="1:37" ht="14.45" customHeight="1">
      <c r="A12" s="3246" t="s">
        <v>688</v>
      </c>
      <c r="B12" s="3247"/>
      <c r="C12" s="3247"/>
      <c r="D12" s="3247"/>
      <c r="E12" s="3247"/>
      <c r="F12" s="3247"/>
      <c r="G12" s="3247"/>
      <c r="H12" s="3247"/>
      <c r="I12" s="3247"/>
      <c r="J12" s="3247"/>
      <c r="K12" s="3247"/>
      <c r="L12" s="3247"/>
      <c r="M12" s="3247"/>
      <c r="N12" s="3247"/>
      <c r="O12" s="3247"/>
      <c r="P12" s="3247"/>
      <c r="Q12" s="3247"/>
      <c r="R12" s="3247"/>
      <c r="S12" s="3247"/>
      <c r="T12" s="3247"/>
      <c r="U12" s="1083"/>
      <c r="V12" s="1083"/>
      <c r="W12" s="1083" t="s">
        <v>211</v>
      </c>
      <c r="X12" s="1083"/>
      <c r="Y12" s="1083"/>
      <c r="Z12" s="3249"/>
      <c r="AA12" s="3249"/>
      <c r="AB12" s="3249"/>
      <c r="AC12" s="3249"/>
      <c r="AD12" s="3249"/>
      <c r="AE12" s="1083"/>
      <c r="AF12" s="1084" t="s">
        <v>91</v>
      </c>
      <c r="AG12" s="1084"/>
      <c r="AH12" s="1086"/>
      <c r="AI12" s="1086"/>
      <c r="AJ12" s="1087"/>
    </row>
    <row r="13" spans="1:37" s="1088" customFormat="1" ht="14.45" customHeight="1">
      <c r="A13" s="3246" t="s">
        <v>689</v>
      </c>
      <c r="B13" s="3247"/>
      <c r="C13" s="3247"/>
      <c r="D13" s="3247"/>
      <c r="E13" s="3247"/>
      <c r="F13" s="3247"/>
      <c r="G13" s="3247"/>
      <c r="H13" s="3247"/>
      <c r="I13" s="3247"/>
      <c r="J13" s="3247"/>
      <c r="K13" s="3247"/>
      <c r="L13" s="3247"/>
      <c r="M13" s="3247"/>
      <c r="N13" s="3247"/>
      <c r="O13" s="3247"/>
      <c r="P13" s="3247"/>
      <c r="Q13" s="3247"/>
      <c r="R13" s="3247"/>
      <c r="S13" s="3247"/>
      <c r="T13" s="3247"/>
      <c r="U13" s="1083"/>
      <c r="V13" s="1083"/>
      <c r="W13" s="1083" t="s">
        <v>211</v>
      </c>
      <c r="X13" s="1083"/>
      <c r="Y13" s="1083"/>
      <c r="Z13" s="3249"/>
      <c r="AA13" s="3249"/>
      <c r="AB13" s="3249"/>
      <c r="AC13" s="3249"/>
      <c r="AD13" s="3249"/>
      <c r="AE13" s="1083"/>
      <c r="AF13" s="1084" t="s">
        <v>91</v>
      </c>
      <c r="AG13" s="1084"/>
      <c r="AH13" s="1086"/>
      <c r="AI13" s="1086"/>
      <c r="AJ13" s="1087"/>
    </row>
    <row r="14" spans="1:37" s="1088" customFormat="1" ht="14.45" customHeight="1">
      <c r="A14" s="3246" t="s">
        <v>690</v>
      </c>
      <c r="B14" s="3247"/>
      <c r="C14" s="3247"/>
      <c r="D14" s="3247"/>
      <c r="E14" s="3247"/>
      <c r="F14" s="3247"/>
      <c r="G14" s="3247"/>
      <c r="H14" s="3247"/>
      <c r="I14" s="3247"/>
      <c r="J14" s="3247"/>
      <c r="K14" s="3247"/>
      <c r="L14" s="3247"/>
      <c r="M14" s="3247"/>
      <c r="N14" s="3247"/>
      <c r="O14" s="3247"/>
      <c r="P14" s="3247"/>
      <c r="Q14" s="3247"/>
      <c r="R14" s="3247"/>
      <c r="S14" s="3247"/>
      <c r="T14" s="3247"/>
      <c r="U14" s="1083"/>
      <c r="V14" s="1083"/>
      <c r="W14" s="1083" t="s">
        <v>211</v>
      </c>
      <c r="X14" s="1083"/>
      <c r="Y14" s="1083"/>
      <c r="Z14" s="3249"/>
      <c r="AA14" s="3249"/>
      <c r="AB14" s="3249"/>
      <c r="AC14" s="3249"/>
      <c r="AD14" s="3249"/>
      <c r="AE14" s="1083"/>
      <c r="AF14" s="1084" t="s">
        <v>91</v>
      </c>
      <c r="AG14" s="1084"/>
      <c r="AH14" s="1086"/>
      <c r="AI14" s="1086"/>
      <c r="AJ14" s="1087"/>
      <c r="AK14" s="1088" t="s">
        <v>691</v>
      </c>
    </row>
    <row r="15" spans="1:37" s="1088" customFormat="1" ht="14.45" customHeight="1">
      <c r="A15" s="1089" t="s">
        <v>692</v>
      </c>
      <c r="B15" s="1086"/>
      <c r="C15" s="1086"/>
      <c r="D15" s="1086"/>
      <c r="E15" s="1086"/>
      <c r="F15" s="1086"/>
      <c r="G15" s="1086"/>
      <c r="H15" s="1086"/>
      <c r="I15" s="1086"/>
      <c r="J15" s="1086"/>
      <c r="K15" s="1086"/>
      <c r="L15" s="1086"/>
      <c r="M15" s="1086"/>
      <c r="N15" s="1086"/>
      <c r="O15" s="1086"/>
      <c r="P15" s="1086"/>
      <c r="Q15" s="1086"/>
      <c r="R15" s="1086"/>
      <c r="S15" s="1086"/>
      <c r="T15" s="1086"/>
      <c r="U15" s="1090"/>
      <c r="V15" s="1090"/>
      <c r="W15" s="1083" t="s">
        <v>211</v>
      </c>
      <c r="X15" s="1090"/>
      <c r="Y15" s="1090"/>
      <c r="Z15" s="3249"/>
      <c r="AA15" s="3249"/>
      <c r="AB15" s="3249"/>
      <c r="AC15" s="3249"/>
      <c r="AD15" s="3249"/>
      <c r="AE15" s="1090"/>
      <c r="AF15" s="1086"/>
      <c r="AG15" s="1086"/>
      <c r="AH15" s="1086"/>
      <c r="AI15" s="1086"/>
      <c r="AJ15" s="1087"/>
      <c r="AK15" s="1088" t="s">
        <v>693</v>
      </c>
    </row>
    <row r="16" spans="1:37" s="1088" customFormat="1" ht="14.45" customHeight="1">
      <c r="A16" s="1091"/>
      <c r="B16" s="1092"/>
      <c r="C16" s="1093"/>
      <c r="D16" s="1094"/>
      <c r="E16" s="1093"/>
      <c r="F16" s="1094"/>
      <c r="G16" s="1093"/>
      <c r="H16" s="1094"/>
      <c r="I16" s="1093"/>
      <c r="J16" s="1093"/>
      <c r="K16" s="1093"/>
      <c r="L16" s="1093"/>
      <c r="M16" s="1093"/>
      <c r="N16" s="1093"/>
      <c r="O16" s="1093"/>
      <c r="P16" s="1095"/>
      <c r="Q16" s="1095"/>
      <c r="R16" s="1095"/>
      <c r="S16" s="1096"/>
      <c r="T16" s="1095"/>
      <c r="U16" s="1097"/>
      <c r="V16" s="1097"/>
      <c r="W16" s="1098"/>
      <c r="X16" s="1098"/>
      <c r="Y16" s="1097"/>
      <c r="Z16" s="1099"/>
      <c r="AA16" s="1099"/>
      <c r="AB16" s="1099"/>
      <c r="AC16" s="1099"/>
      <c r="AD16" s="1099"/>
      <c r="AE16" s="1098"/>
      <c r="AF16" s="1093"/>
      <c r="AG16" s="1093"/>
      <c r="AH16" s="1095"/>
      <c r="AI16" s="1095"/>
      <c r="AJ16" s="1100"/>
    </row>
    <row r="17" spans="1:36" ht="14.45" customHeight="1">
      <c r="A17" s="1101"/>
      <c r="B17" s="1102"/>
      <c r="C17" s="1103"/>
      <c r="D17" s="1103"/>
      <c r="E17" s="1103"/>
      <c r="F17" s="1103"/>
      <c r="G17" s="1103"/>
      <c r="H17" s="1103"/>
      <c r="I17" s="1103"/>
      <c r="J17" s="1103"/>
      <c r="K17" s="1103"/>
      <c r="L17" s="1103"/>
      <c r="M17" s="1103"/>
      <c r="N17" s="1103"/>
      <c r="O17" s="1103"/>
      <c r="P17" s="1104"/>
      <c r="Q17" s="1104"/>
      <c r="R17" s="1104"/>
      <c r="S17" s="1105"/>
      <c r="T17" s="1104"/>
      <c r="U17" s="1106"/>
      <c r="V17" s="1107"/>
      <c r="W17" s="1107"/>
      <c r="X17" s="1107"/>
      <c r="Y17" s="1107"/>
      <c r="Z17" s="1108"/>
      <c r="AA17" s="1108"/>
      <c r="AB17" s="1108"/>
      <c r="AC17" s="1108"/>
      <c r="AD17" s="1108"/>
      <c r="AE17" s="1107"/>
      <c r="AF17" s="1103"/>
      <c r="AG17" s="1103"/>
      <c r="AH17" s="1104"/>
      <c r="AI17" s="1104"/>
      <c r="AJ17" s="1109"/>
    </row>
    <row r="18" spans="1:36" s="1110" customFormat="1" ht="15" customHeight="1">
      <c r="A18" s="3257" t="s">
        <v>694</v>
      </c>
      <c r="B18" s="3258"/>
      <c r="C18" s="3258"/>
      <c r="D18" s="3258"/>
      <c r="E18" s="3258"/>
      <c r="F18" s="3258"/>
      <c r="G18" s="3258"/>
      <c r="H18" s="3258"/>
      <c r="I18" s="3258"/>
      <c r="J18" s="3258"/>
      <c r="K18" s="3258"/>
      <c r="L18" s="3258"/>
      <c r="M18" s="3258"/>
      <c r="N18" s="3258"/>
      <c r="O18" s="3258"/>
      <c r="P18" s="3258"/>
      <c r="Q18" s="3258"/>
      <c r="R18" s="3258"/>
      <c r="S18" s="3258"/>
      <c r="T18" s="3258"/>
      <c r="U18" s="3258"/>
      <c r="V18" s="3258"/>
      <c r="W18" s="3258"/>
      <c r="X18" s="3258"/>
      <c r="Y18" s="3258"/>
      <c r="Z18" s="3258"/>
      <c r="AA18" s="3258"/>
      <c r="AB18" s="3258"/>
      <c r="AC18" s="3258"/>
      <c r="AD18" s="3258"/>
      <c r="AE18" s="3258"/>
      <c r="AF18" s="3258"/>
      <c r="AG18" s="3258"/>
      <c r="AH18" s="3258"/>
      <c r="AI18" s="3258"/>
      <c r="AJ18" s="3259"/>
    </row>
    <row r="19" spans="1:36" s="1088" customFormat="1" ht="12" customHeight="1">
      <c r="A19" s="1111"/>
      <c r="B19" s="1112"/>
      <c r="C19" s="1113"/>
      <c r="D19" s="1113"/>
      <c r="E19" s="1113"/>
      <c r="F19" s="1113"/>
      <c r="G19" s="1113"/>
      <c r="H19" s="1113"/>
      <c r="I19" s="1113"/>
      <c r="J19" s="1113"/>
      <c r="K19" s="1113"/>
      <c r="L19" s="1113"/>
      <c r="M19" s="1113"/>
      <c r="N19" s="1113"/>
      <c r="O19" s="1113"/>
      <c r="P19" s="1114"/>
      <c r="Q19" s="1114"/>
      <c r="R19" s="1114"/>
      <c r="S19" s="1114"/>
      <c r="T19" s="1114"/>
      <c r="U19" s="1113"/>
      <c r="V19" s="1113"/>
      <c r="W19" s="1113"/>
      <c r="X19" s="1113"/>
      <c r="Y19" s="1113"/>
      <c r="Z19" s="1113"/>
      <c r="AA19" s="1113"/>
      <c r="AB19" s="1113"/>
      <c r="AC19" s="1113"/>
      <c r="AD19" s="1113"/>
      <c r="AE19" s="1113"/>
      <c r="AF19" s="1113"/>
      <c r="AG19" s="1113"/>
      <c r="AH19" s="1113"/>
      <c r="AI19" s="1113"/>
      <c r="AJ19" s="1115"/>
    </row>
    <row r="20" spans="1:36" s="1088" customFormat="1" ht="12" customHeight="1">
      <c r="A20" s="1111"/>
      <c r="B20" s="1114"/>
      <c r="C20" s="1116"/>
      <c r="D20" s="1116"/>
      <c r="E20" s="3260" t="s">
        <v>818</v>
      </c>
      <c r="F20" s="3260"/>
      <c r="G20" s="3260"/>
      <c r="H20" s="3260"/>
      <c r="I20" s="3260"/>
      <c r="J20" s="3260"/>
      <c r="K20" s="3260"/>
      <c r="L20" s="3260"/>
      <c r="M20" s="1117"/>
      <c r="N20" s="3261" t="str">
        <f>+IF(Z11="","",Z11/(Z14+Z12-Z13))</f>
        <v/>
      </c>
      <c r="O20" s="3262"/>
      <c r="P20" s="3263"/>
      <c r="Q20" s="1114"/>
      <c r="R20" s="1112"/>
      <c r="S20" s="1112"/>
      <c r="T20" s="3260" t="s">
        <v>819</v>
      </c>
      <c r="U20" s="3260"/>
      <c r="V20" s="3260"/>
      <c r="W20" s="3260"/>
      <c r="X20" s="3260"/>
      <c r="Y20" s="3260"/>
      <c r="Z20" s="3260"/>
      <c r="AA20" s="3260"/>
      <c r="AB20" s="1114"/>
      <c r="AC20" s="3251" t="str">
        <f>+IF(Z12="","",Z12/(Z14+Z12-Z13))</f>
        <v/>
      </c>
      <c r="AD20" s="3267"/>
      <c r="AE20" s="3268"/>
      <c r="AF20" s="1114"/>
      <c r="AG20" s="3272"/>
      <c r="AH20" s="3272"/>
      <c r="AI20" s="3272"/>
      <c r="AJ20" s="1118"/>
    </row>
    <row r="21" spans="1:36" s="1088" customFormat="1" ht="12" customHeight="1">
      <c r="A21" s="1111"/>
      <c r="B21" s="1114"/>
      <c r="C21" s="1116"/>
      <c r="D21" s="1116"/>
      <c r="E21" s="3260"/>
      <c r="F21" s="3260"/>
      <c r="G21" s="3260"/>
      <c r="H21" s="3260"/>
      <c r="I21" s="3260"/>
      <c r="J21" s="3260"/>
      <c r="K21" s="3260"/>
      <c r="L21" s="3260"/>
      <c r="M21" s="1117"/>
      <c r="N21" s="3264"/>
      <c r="O21" s="3265"/>
      <c r="P21" s="3266"/>
      <c r="Q21" s="1119"/>
      <c r="R21" s="1112"/>
      <c r="S21" s="1112"/>
      <c r="T21" s="3260"/>
      <c r="U21" s="3260"/>
      <c r="V21" s="3260"/>
      <c r="W21" s="3260"/>
      <c r="X21" s="3260"/>
      <c r="Y21" s="3260"/>
      <c r="Z21" s="3260"/>
      <c r="AA21" s="3260"/>
      <c r="AB21" s="1114"/>
      <c r="AC21" s="3269"/>
      <c r="AD21" s="3270"/>
      <c r="AE21" s="3271"/>
      <c r="AF21" s="1119"/>
      <c r="AG21" s="3272"/>
      <c r="AH21" s="3272"/>
      <c r="AI21" s="3272"/>
      <c r="AJ21" s="1118"/>
    </row>
    <row r="22" spans="1:36" s="1088" customFormat="1" ht="12" customHeight="1">
      <c r="A22" s="1111"/>
      <c r="B22" s="1114"/>
      <c r="C22" s="1120"/>
      <c r="D22" s="1120"/>
      <c r="E22" s="1120"/>
      <c r="F22" s="1120"/>
      <c r="G22" s="1120"/>
      <c r="H22" s="1120"/>
      <c r="I22" s="1120"/>
      <c r="J22" s="1121"/>
      <c r="K22" s="1121"/>
      <c r="L22" s="1121"/>
      <c r="M22" s="1121"/>
      <c r="N22" s="1122"/>
      <c r="O22" s="1122"/>
      <c r="P22" s="1122"/>
      <c r="Q22" s="1114"/>
      <c r="R22" s="1112"/>
      <c r="S22" s="1112"/>
      <c r="T22" s="1114"/>
      <c r="U22" s="1123"/>
      <c r="V22" s="1123"/>
      <c r="W22" s="1123"/>
      <c r="X22" s="1123"/>
      <c r="Y22" s="1123"/>
      <c r="Z22" s="1123"/>
      <c r="AA22" s="1123"/>
      <c r="AB22" s="1124"/>
      <c r="AC22" s="1125"/>
      <c r="AD22" s="1125"/>
      <c r="AE22" s="1125"/>
      <c r="AF22" s="1125"/>
      <c r="AG22" s="1126"/>
      <c r="AH22" s="1126"/>
      <c r="AI22" s="1126"/>
      <c r="AJ22" s="1118"/>
    </row>
    <row r="23" spans="1:36" s="1088" customFormat="1" ht="12" customHeight="1">
      <c r="A23" s="1111"/>
      <c r="B23" s="1114"/>
      <c r="C23" s="1114"/>
      <c r="D23" s="1114"/>
      <c r="E23" s="1114"/>
      <c r="F23" s="1114"/>
      <c r="G23" s="1114"/>
      <c r="H23" s="1114"/>
      <c r="I23" s="1114"/>
      <c r="J23" s="3250" t="s">
        <v>695</v>
      </c>
      <c r="K23" s="3250"/>
      <c r="L23" s="3250"/>
      <c r="M23" s="3250"/>
      <c r="N23" s="3250"/>
      <c r="O23" s="3250"/>
      <c r="P23" s="3250"/>
      <c r="Q23" s="3250"/>
      <c r="R23" s="3250"/>
      <c r="S23" s="3250"/>
      <c r="T23" s="1127"/>
      <c r="U23" s="3251" t="str">
        <f>+IF(Z11="","",Z11/(Z14+Z11-Z13))</f>
        <v/>
      </c>
      <c r="V23" s="3252"/>
      <c r="W23" s="3253"/>
      <c r="X23" s="1123"/>
      <c r="Y23" s="1123"/>
      <c r="Z23" s="1123"/>
      <c r="AA23" s="1123"/>
      <c r="AB23" s="1124"/>
      <c r="AC23" s="1125"/>
      <c r="AD23" s="1125"/>
      <c r="AE23" s="1125"/>
      <c r="AF23" s="1125"/>
      <c r="AG23" s="1126"/>
      <c r="AH23" s="1126"/>
      <c r="AI23" s="1126"/>
      <c r="AJ23" s="1118"/>
    </row>
    <row r="24" spans="1:36" s="1088" customFormat="1" ht="12" customHeight="1">
      <c r="A24" s="1111"/>
      <c r="B24" s="1114"/>
      <c r="C24" s="1114"/>
      <c r="D24" s="1114"/>
      <c r="E24" s="1114"/>
      <c r="F24" s="1114"/>
      <c r="G24" s="1114"/>
      <c r="H24" s="1114"/>
      <c r="I24" s="1114"/>
      <c r="J24" s="3250"/>
      <c r="K24" s="3250"/>
      <c r="L24" s="3250"/>
      <c r="M24" s="3250"/>
      <c r="N24" s="3250"/>
      <c r="O24" s="3250"/>
      <c r="P24" s="3250"/>
      <c r="Q24" s="3250"/>
      <c r="R24" s="3250"/>
      <c r="S24" s="3250"/>
      <c r="T24" s="1127"/>
      <c r="U24" s="3254"/>
      <c r="V24" s="3255"/>
      <c r="W24" s="3256"/>
      <c r="X24" s="1123"/>
      <c r="Y24" s="1123"/>
      <c r="Z24" s="1123"/>
      <c r="AA24" s="1123"/>
      <c r="AB24" s="1124"/>
      <c r="AC24" s="1125"/>
      <c r="AD24" s="1125"/>
      <c r="AE24" s="1125"/>
      <c r="AF24" s="1125"/>
      <c r="AG24" s="1126"/>
      <c r="AH24" s="1126"/>
      <c r="AI24" s="1126"/>
      <c r="AJ24" s="1118"/>
    </row>
    <row r="25" spans="1:36" s="1088" customFormat="1" ht="12" customHeight="1">
      <c r="A25" s="1111"/>
      <c r="B25" s="1114"/>
      <c r="C25" s="1114"/>
      <c r="D25" s="1114"/>
      <c r="E25" s="1114"/>
      <c r="F25" s="1114"/>
      <c r="G25" s="1114"/>
      <c r="H25" s="1114"/>
      <c r="I25" s="1114"/>
      <c r="J25" s="1120"/>
      <c r="K25" s="1120"/>
      <c r="L25" s="1120"/>
      <c r="M25" s="1120"/>
      <c r="N25" s="1120"/>
      <c r="O25" s="1120"/>
      <c r="P25" s="1120"/>
      <c r="Q25" s="1128"/>
      <c r="R25" s="1128"/>
      <c r="S25" s="1128"/>
      <c r="T25" s="1128"/>
      <c r="U25" s="1122"/>
      <c r="V25" s="1122"/>
      <c r="W25" s="1122"/>
      <c r="X25" s="1123"/>
      <c r="Y25" s="1123"/>
      <c r="Z25" s="1123"/>
      <c r="AA25" s="1123"/>
      <c r="AB25" s="1124"/>
      <c r="AC25" s="1125"/>
      <c r="AD25" s="1125"/>
      <c r="AE25" s="1125"/>
      <c r="AF25" s="1125"/>
      <c r="AG25" s="1126"/>
      <c r="AH25" s="1126"/>
      <c r="AI25" s="1126"/>
      <c r="AJ25" s="1118"/>
    </row>
    <row r="26" spans="1:36" s="1129" customFormat="1" ht="15" customHeight="1">
      <c r="A26" s="3257" t="s">
        <v>696</v>
      </c>
      <c r="B26" s="3258"/>
      <c r="C26" s="3258"/>
      <c r="D26" s="3258"/>
      <c r="E26" s="3258"/>
      <c r="F26" s="3258"/>
      <c r="G26" s="3258"/>
      <c r="H26" s="3258"/>
      <c r="I26" s="3258"/>
      <c r="J26" s="3258"/>
      <c r="K26" s="3258"/>
      <c r="L26" s="3258"/>
      <c r="M26" s="3258"/>
      <c r="N26" s="3258"/>
      <c r="O26" s="3258"/>
      <c r="P26" s="3258"/>
      <c r="Q26" s="3258"/>
      <c r="R26" s="3258"/>
      <c r="S26" s="3258"/>
      <c r="T26" s="3258"/>
      <c r="U26" s="3258"/>
      <c r="V26" s="3258"/>
      <c r="W26" s="3258"/>
      <c r="X26" s="3258"/>
      <c r="Y26" s="3258"/>
      <c r="Z26" s="3258"/>
      <c r="AA26" s="3258"/>
      <c r="AB26" s="3258"/>
      <c r="AC26" s="3258"/>
      <c r="AD26" s="3258"/>
      <c r="AE26" s="3258"/>
      <c r="AF26" s="3258"/>
      <c r="AG26" s="3258"/>
      <c r="AH26" s="3258"/>
      <c r="AI26" s="3258"/>
      <c r="AJ26" s="3259"/>
    </row>
    <row r="27" spans="1:36" s="1088" customFormat="1" ht="12" customHeight="1">
      <c r="A27" s="1111"/>
      <c r="B27" s="1112"/>
      <c r="C27" s="1113"/>
      <c r="D27" s="1113"/>
      <c r="E27" s="1113"/>
      <c r="F27" s="1113"/>
      <c r="G27" s="1113"/>
      <c r="H27" s="1113"/>
      <c r="I27" s="1113"/>
      <c r="J27" s="1113"/>
      <c r="K27" s="1113"/>
      <c r="L27" s="1113"/>
      <c r="M27" s="1113"/>
      <c r="N27" s="1113"/>
      <c r="O27" s="1113"/>
      <c r="P27" s="1114"/>
      <c r="Q27" s="1114"/>
      <c r="R27" s="1114"/>
      <c r="S27" s="1114"/>
      <c r="T27" s="1114"/>
      <c r="U27" s="1113"/>
      <c r="V27" s="1113"/>
      <c r="W27" s="1113"/>
      <c r="X27" s="1113"/>
      <c r="Y27" s="1113"/>
      <c r="Z27" s="1113"/>
      <c r="AA27" s="1113"/>
      <c r="AB27" s="1113"/>
      <c r="AC27" s="1113"/>
      <c r="AD27" s="1113"/>
      <c r="AE27" s="1113"/>
      <c r="AF27" s="1113"/>
      <c r="AG27" s="1113"/>
      <c r="AH27" s="1113"/>
      <c r="AI27" s="1113"/>
      <c r="AJ27" s="1115"/>
    </row>
    <row r="28" spans="1:36" s="1088" customFormat="1" ht="12" customHeight="1">
      <c r="A28" s="1111"/>
      <c r="B28" s="1114"/>
      <c r="C28" s="1116"/>
      <c r="D28" s="1116"/>
      <c r="E28" s="3260" t="s">
        <v>697</v>
      </c>
      <c r="F28" s="3260"/>
      <c r="G28" s="3260"/>
      <c r="H28" s="3260"/>
      <c r="I28" s="3260"/>
      <c r="J28" s="3260"/>
      <c r="K28" s="3260"/>
      <c r="L28" s="3260"/>
      <c r="M28" s="1130"/>
      <c r="N28" s="3277" t="str">
        <f>IF(Z11="","",ROUND(997.5*Z11/(Z14+Z12-Z13),0.1))</f>
        <v/>
      </c>
      <c r="O28" s="3278"/>
      <c r="P28" s="3279"/>
      <c r="Q28" s="1114"/>
      <c r="R28" s="1112"/>
      <c r="S28" s="1112"/>
      <c r="T28" s="3260" t="s">
        <v>698</v>
      </c>
      <c r="U28" s="3260"/>
      <c r="V28" s="3260"/>
      <c r="W28" s="3260"/>
      <c r="X28" s="3260"/>
      <c r="Y28" s="3260"/>
      <c r="Z28" s="3260"/>
      <c r="AA28" s="3260"/>
      <c r="AB28" s="1130"/>
      <c r="AC28" s="3277" t="str">
        <f>IF(Z12="","",997.5*Z12/(Z14+Z12-Z13))</f>
        <v/>
      </c>
      <c r="AD28" s="3278"/>
      <c r="AE28" s="3279"/>
      <c r="AF28" s="1114"/>
      <c r="AG28" s="3272"/>
      <c r="AH28" s="3272"/>
      <c r="AI28" s="3272"/>
      <c r="AJ28" s="1118"/>
    </row>
    <row r="29" spans="1:36" s="1088" customFormat="1" ht="12.95" customHeight="1">
      <c r="A29" s="1111"/>
      <c r="B29" s="1114"/>
      <c r="C29" s="1116"/>
      <c r="D29" s="1116"/>
      <c r="E29" s="3260"/>
      <c r="F29" s="3260"/>
      <c r="G29" s="3260"/>
      <c r="H29" s="3260"/>
      <c r="I29" s="3260"/>
      <c r="J29" s="3260"/>
      <c r="K29" s="3260"/>
      <c r="L29" s="3260"/>
      <c r="M29" s="1130"/>
      <c r="N29" s="3280"/>
      <c r="O29" s="3281"/>
      <c r="P29" s="3282"/>
      <c r="Q29" s="1119"/>
      <c r="R29" s="1112"/>
      <c r="S29" s="1112"/>
      <c r="T29" s="3260"/>
      <c r="U29" s="3260"/>
      <c r="V29" s="3260"/>
      <c r="W29" s="3260"/>
      <c r="X29" s="3260"/>
      <c r="Y29" s="3260"/>
      <c r="Z29" s="3260"/>
      <c r="AA29" s="3260"/>
      <c r="AB29" s="1130"/>
      <c r="AC29" s="3280"/>
      <c r="AD29" s="3281"/>
      <c r="AE29" s="3282"/>
      <c r="AF29" s="1119"/>
      <c r="AG29" s="3272"/>
      <c r="AH29" s="3272"/>
      <c r="AI29" s="3272"/>
      <c r="AJ29" s="1118"/>
    </row>
    <row r="30" spans="1:36" s="1088" customFormat="1" ht="12" customHeight="1">
      <c r="A30" s="1111"/>
      <c r="B30" s="1114"/>
      <c r="C30" s="1120"/>
      <c r="D30" s="1120"/>
      <c r="E30" s="1120"/>
      <c r="F30" s="1120"/>
      <c r="G30" s="1120"/>
      <c r="H30" s="1120"/>
      <c r="I30" s="1120"/>
      <c r="J30" s="1121"/>
      <c r="K30" s="1121"/>
      <c r="L30" s="1121"/>
      <c r="M30" s="1121"/>
      <c r="N30" s="1122"/>
      <c r="O30" s="1122"/>
      <c r="P30" s="1122"/>
      <c r="Q30" s="1114"/>
      <c r="R30" s="1112"/>
      <c r="S30" s="1112"/>
      <c r="T30" s="1114"/>
      <c r="U30" s="1123"/>
      <c r="V30" s="1123"/>
      <c r="W30" s="1123"/>
      <c r="X30" s="1123"/>
      <c r="Y30" s="1123"/>
      <c r="Z30" s="1123"/>
      <c r="AA30" s="1123"/>
      <c r="AB30" s="1124"/>
      <c r="AC30" s="1125"/>
      <c r="AD30" s="1125"/>
      <c r="AE30" s="1125"/>
      <c r="AF30" s="1125"/>
      <c r="AG30" s="1126"/>
      <c r="AH30" s="1126"/>
      <c r="AI30" s="1126"/>
      <c r="AJ30" s="1118"/>
    </row>
    <row r="31" spans="1:36" s="1088" customFormat="1" ht="12" customHeight="1">
      <c r="A31" s="1111"/>
      <c r="B31" s="1114"/>
      <c r="C31" s="1114"/>
      <c r="D31" s="1114"/>
      <c r="E31" s="1114"/>
      <c r="F31" s="1114"/>
      <c r="G31" s="1114"/>
      <c r="H31" s="1114"/>
      <c r="I31" s="1114"/>
      <c r="J31" s="1116"/>
      <c r="K31" s="1116"/>
      <c r="L31" s="3283" t="s">
        <v>699</v>
      </c>
      <c r="M31" s="3283"/>
      <c r="N31" s="3283"/>
      <c r="O31" s="3283"/>
      <c r="P31" s="3283"/>
      <c r="Q31" s="3283"/>
      <c r="R31" s="3283"/>
      <c r="S31" s="3283"/>
      <c r="T31" s="1131"/>
      <c r="U31" s="3277" t="str">
        <f>IF(Z11="","",997.5*Z11/(Z14+Z11-Z13))</f>
        <v/>
      </c>
      <c r="V31" s="3278"/>
      <c r="W31" s="3279"/>
      <c r="X31" s="1123"/>
      <c r="Y31" s="1123"/>
      <c r="Z31" s="1123"/>
      <c r="AA31" s="1123"/>
      <c r="AB31" s="1124"/>
      <c r="AC31" s="1125"/>
      <c r="AD31" s="1125"/>
      <c r="AE31" s="1125"/>
      <c r="AF31" s="1125"/>
      <c r="AG31" s="1126"/>
      <c r="AH31" s="1126"/>
      <c r="AI31" s="1126"/>
      <c r="AJ31" s="1118"/>
    </row>
    <row r="32" spans="1:36" s="1088" customFormat="1" ht="12" customHeight="1">
      <c r="A32" s="1111"/>
      <c r="B32" s="1114"/>
      <c r="C32" s="1114"/>
      <c r="D32" s="1114"/>
      <c r="E32" s="1114"/>
      <c r="F32" s="1114"/>
      <c r="G32" s="1114"/>
      <c r="H32" s="1114"/>
      <c r="I32" s="1114"/>
      <c r="J32" s="1116"/>
      <c r="K32" s="1116"/>
      <c r="L32" s="3283"/>
      <c r="M32" s="3283"/>
      <c r="N32" s="3283"/>
      <c r="O32" s="3283"/>
      <c r="P32" s="3283"/>
      <c r="Q32" s="3283"/>
      <c r="R32" s="3283"/>
      <c r="S32" s="3283"/>
      <c r="T32" s="1131"/>
      <c r="U32" s="3280"/>
      <c r="V32" s="3281"/>
      <c r="W32" s="3282"/>
      <c r="X32" s="1123"/>
      <c r="Y32" s="1123"/>
      <c r="Z32" s="1123"/>
      <c r="AA32" s="1123"/>
      <c r="AB32" s="1124"/>
      <c r="AC32" s="1125"/>
      <c r="AD32" s="1125"/>
      <c r="AE32" s="1125"/>
      <c r="AF32" s="1125"/>
      <c r="AG32" s="1126"/>
      <c r="AH32" s="1126"/>
      <c r="AI32" s="1126"/>
      <c r="AJ32" s="1118"/>
    </row>
    <row r="33" spans="1:36" s="1088" customFormat="1" ht="12" customHeight="1">
      <c r="A33" s="1132"/>
      <c r="B33" s="1133"/>
      <c r="C33" s="1134"/>
      <c r="D33" s="1134"/>
      <c r="E33" s="1134"/>
      <c r="F33" s="1134"/>
      <c r="G33" s="1134"/>
      <c r="H33" s="1134"/>
      <c r="I33" s="1134"/>
      <c r="J33" s="1135"/>
      <c r="K33" s="1135"/>
      <c r="L33" s="1135"/>
      <c r="M33" s="1135"/>
      <c r="N33" s="1136"/>
      <c r="O33" s="1136"/>
      <c r="P33" s="1136"/>
      <c r="Q33" s="1133"/>
      <c r="R33" s="1137"/>
      <c r="S33" s="1137"/>
      <c r="T33" s="1133"/>
      <c r="U33" s="1138"/>
      <c r="V33" s="1138"/>
      <c r="W33" s="1138"/>
      <c r="X33" s="1138"/>
      <c r="Y33" s="1138"/>
      <c r="Z33" s="1138"/>
      <c r="AA33" s="1138"/>
      <c r="AB33" s="1139"/>
      <c r="AC33" s="1140"/>
      <c r="AD33" s="1140"/>
      <c r="AE33" s="1140"/>
      <c r="AF33" s="1140"/>
      <c r="AG33" s="1141"/>
      <c r="AH33" s="1141"/>
      <c r="AI33" s="1141"/>
      <c r="AJ33" s="1142"/>
    </row>
    <row r="34" spans="1:36" s="1129" customFormat="1" ht="15" customHeight="1">
      <c r="A34" s="3257" t="s">
        <v>700</v>
      </c>
      <c r="B34" s="3258"/>
      <c r="C34" s="3258"/>
      <c r="D34" s="3258"/>
      <c r="E34" s="3258"/>
      <c r="F34" s="3258"/>
      <c r="G34" s="3258"/>
      <c r="H34" s="3258"/>
      <c r="I34" s="3258"/>
      <c r="J34" s="3258"/>
      <c r="K34" s="3258"/>
      <c r="L34" s="3258"/>
      <c r="M34" s="3258"/>
      <c r="N34" s="3258"/>
      <c r="O34" s="3258"/>
      <c r="P34" s="3258"/>
      <c r="Q34" s="3258"/>
      <c r="R34" s="3258"/>
      <c r="S34" s="3258"/>
      <c r="T34" s="3258"/>
      <c r="U34" s="3258"/>
      <c r="V34" s="3258"/>
      <c r="W34" s="3258"/>
      <c r="X34" s="3258"/>
      <c r="Y34" s="3258"/>
      <c r="Z34" s="3258"/>
      <c r="AA34" s="3258"/>
      <c r="AB34" s="3258"/>
      <c r="AC34" s="3258"/>
      <c r="AD34" s="3258"/>
      <c r="AE34" s="3258"/>
      <c r="AF34" s="3258"/>
      <c r="AG34" s="3258"/>
      <c r="AH34" s="3258"/>
      <c r="AI34" s="3258"/>
      <c r="AJ34" s="3259"/>
    </row>
    <row r="35" spans="1:36" s="1088" customFormat="1" ht="12" customHeight="1">
      <c r="A35" s="1111"/>
      <c r="B35" s="1114"/>
      <c r="C35" s="1120"/>
      <c r="D35" s="1120"/>
      <c r="E35" s="1120"/>
      <c r="F35" s="1120"/>
      <c r="G35" s="1120"/>
      <c r="H35" s="1120"/>
      <c r="I35" s="1120"/>
      <c r="J35" s="1121"/>
      <c r="K35" s="1121"/>
      <c r="L35" s="1121"/>
      <c r="M35" s="1121"/>
      <c r="N35" s="1122"/>
      <c r="O35" s="1122"/>
      <c r="P35" s="1122"/>
      <c r="Q35" s="1114"/>
      <c r="R35" s="1112"/>
      <c r="S35" s="1112"/>
      <c r="T35" s="1114"/>
      <c r="U35" s="1123"/>
      <c r="V35" s="1123"/>
      <c r="W35" s="1123"/>
      <c r="X35" s="1123"/>
      <c r="Y35" s="1123"/>
      <c r="Z35" s="1123"/>
      <c r="AA35" s="1123"/>
      <c r="AB35" s="1124"/>
      <c r="AC35" s="1125"/>
      <c r="AD35" s="1125"/>
      <c r="AE35" s="1125"/>
      <c r="AF35" s="1125"/>
      <c r="AG35" s="1126"/>
      <c r="AH35" s="1126"/>
      <c r="AI35" s="1126"/>
      <c r="AJ35" s="1118"/>
    </row>
    <row r="36" spans="1:36" s="1088" customFormat="1" ht="12" customHeight="1">
      <c r="A36" s="1111"/>
      <c r="B36" s="1114"/>
      <c r="C36" s="1120"/>
      <c r="D36" s="1120"/>
      <c r="E36" s="1120"/>
      <c r="F36" s="1120"/>
      <c r="G36" s="1120"/>
      <c r="H36" s="1120"/>
      <c r="I36" s="1120"/>
      <c r="J36" s="1121"/>
      <c r="K36" s="1143"/>
      <c r="L36" s="3260" t="s">
        <v>701</v>
      </c>
      <c r="M36" s="3260"/>
      <c r="N36" s="3260"/>
      <c r="O36" s="3260"/>
      <c r="P36" s="3260"/>
      <c r="Q36" s="3260"/>
      <c r="R36" s="3260"/>
      <c r="S36" s="3260"/>
      <c r="T36" s="1143"/>
      <c r="U36" s="3284" t="str">
        <f>+IF(Z11="","",(Z12-Z11)*100/Z11)</f>
        <v/>
      </c>
      <c r="V36" s="3285"/>
      <c r="W36" s="3286"/>
      <c r="X36" s="1123"/>
      <c r="Y36" s="1123"/>
      <c r="Z36" s="1123"/>
      <c r="AA36" s="1123"/>
      <c r="AB36" s="1124"/>
      <c r="AC36" s="1125"/>
      <c r="AD36" s="1125"/>
      <c r="AE36" s="1125"/>
      <c r="AF36" s="1125"/>
      <c r="AG36" s="1126"/>
      <c r="AH36" s="1126"/>
      <c r="AI36" s="1126"/>
      <c r="AJ36" s="1144"/>
    </row>
    <row r="37" spans="1:36" s="1088" customFormat="1" ht="12" customHeight="1">
      <c r="A37" s="1111"/>
      <c r="B37" s="1114"/>
      <c r="C37" s="1120"/>
      <c r="D37" s="1120"/>
      <c r="E37" s="1120"/>
      <c r="F37" s="1120"/>
      <c r="G37" s="1120"/>
      <c r="H37" s="1120"/>
      <c r="I37" s="1120"/>
      <c r="J37" s="1121"/>
      <c r="K37" s="1145"/>
      <c r="L37" s="3260"/>
      <c r="M37" s="3260"/>
      <c r="N37" s="3260"/>
      <c r="O37" s="3260"/>
      <c r="P37" s="3260"/>
      <c r="Q37" s="3260"/>
      <c r="R37" s="3260"/>
      <c r="S37" s="3260"/>
      <c r="T37" s="1143"/>
      <c r="U37" s="3287"/>
      <c r="V37" s="3288"/>
      <c r="W37" s="3289"/>
      <c r="X37" s="1123"/>
      <c r="Y37" s="1123"/>
      <c r="Z37" s="1123"/>
      <c r="AA37" s="1123"/>
      <c r="AB37" s="1124"/>
      <c r="AC37" s="1125"/>
      <c r="AD37" s="1125"/>
      <c r="AE37" s="1125"/>
      <c r="AF37" s="1125"/>
      <c r="AG37" s="1126"/>
      <c r="AH37" s="1126"/>
      <c r="AI37" s="1126"/>
      <c r="AJ37" s="1118"/>
    </row>
    <row r="38" spans="1:36" s="1088" customFormat="1" ht="12" customHeight="1">
      <c r="A38" s="1132"/>
      <c r="B38" s="1133"/>
      <c r="C38" s="1134"/>
      <c r="D38" s="1134"/>
      <c r="E38" s="1134"/>
      <c r="F38" s="1134"/>
      <c r="G38" s="1134"/>
      <c r="H38" s="1134"/>
      <c r="I38" s="1134"/>
      <c r="J38" s="1135"/>
      <c r="K38" s="1135"/>
      <c r="L38" s="1135"/>
      <c r="M38" s="1135"/>
      <c r="N38" s="1136"/>
      <c r="O38" s="1136"/>
      <c r="P38" s="1136"/>
      <c r="Q38" s="1133"/>
      <c r="R38" s="1137"/>
      <c r="S38" s="1137"/>
      <c r="T38" s="1133"/>
      <c r="U38" s="1138"/>
      <c r="V38" s="1138"/>
      <c r="W38" s="1138"/>
      <c r="X38" s="1138"/>
      <c r="Y38" s="1138"/>
      <c r="Z38" s="1138"/>
      <c r="AA38" s="1138"/>
      <c r="AB38" s="1139"/>
      <c r="AC38" s="1140"/>
      <c r="AD38" s="1140"/>
      <c r="AE38" s="1140"/>
      <c r="AF38" s="1140"/>
      <c r="AG38" s="1141"/>
      <c r="AH38" s="1141"/>
      <c r="AI38" s="1141"/>
      <c r="AJ38" s="1142"/>
    </row>
    <row r="39" spans="1:36" s="1088" customFormat="1" ht="12.95" customHeight="1">
      <c r="A39" s="3273" t="s">
        <v>20</v>
      </c>
      <c r="B39" s="3274"/>
      <c r="C39" s="3274"/>
      <c r="D39" s="3274"/>
      <c r="E39" s="3274"/>
      <c r="F39" s="3274"/>
      <c r="G39" s="3275"/>
      <c r="H39" s="3275"/>
      <c r="I39" s="3275"/>
      <c r="J39" s="3275"/>
      <c r="K39" s="3275"/>
      <c r="L39" s="3275"/>
      <c r="M39" s="3275"/>
      <c r="N39" s="3275"/>
      <c r="O39" s="3275"/>
      <c r="P39" s="3275"/>
      <c r="Q39" s="3275"/>
      <c r="R39" s="3275"/>
      <c r="S39" s="3275"/>
      <c r="T39" s="3275"/>
      <c r="U39" s="3275"/>
      <c r="V39" s="3275"/>
      <c r="W39" s="3275"/>
      <c r="X39" s="3275"/>
      <c r="Y39" s="3275"/>
      <c r="Z39" s="3275"/>
      <c r="AA39" s="3275"/>
      <c r="AB39" s="3275"/>
      <c r="AC39" s="3275"/>
      <c r="AD39" s="3275"/>
      <c r="AE39" s="3275"/>
      <c r="AF39" s="3275"/>
      <c r="AG39" s="3275"/>
      <c r="AH39" s="3275"/>
      <c r="AI39" s="3275"/>
      <c r="AJ39" s="3276"/>
    </row>
    <row r="40" spans="1:36" s="1088" customFormat="1" ht="12.95" customHeight="1">
      <c r="A40" s="3290"/>
      <c r="B40" s="3291"/>
      <c r="C40" s="3291"/>
      <c r="D40" s="3291"/>
      <c r="E40" s="3291"/>
      <c r="F40" s="3291"/>
      <c r="G40" s="3291"/>
      <c r="H40" s="3291"/>
      <c r="I40" s="3291"/>
      <c r="J40" s="3291"/>
      <c r="K40" s="3291"/>
      <c r="L40" s="3291"/>
      <c r="M40" s="3291"/>
      <c r="N40" s="3291"/>
      <c r="O40" s="3291"/>
      <c r="P40" s="3291"/>
      <c r="Q40" s="3291"/>
      <c r="R40" s="3291"/>
      <c r="S40" s="3291"/>
      <c r="T40" s="3291"/>
      <c r="U40" s="3291"/>
      <c r="V40" s="3291"/>
      <c r="W40" s="3291"/>
      <c r="X40" s="3291"/>
      <c r="Y40" s="3291"/>
      <c r="Z40" s="3291"/>
      <c r="AA40" s="3291"/>
      <c r="AB40" s="3291"/>
      <c r="AC40" s="3291"/>
      <c r="AD40" s="3291"/>
      <c r="AE40" s="3291"/>
      <c r="AF40" s="3291"/>
      <c r="AG40" s="3291"/>
      <c r="AH40" s="3291"/>
      <c r="AI40" s="3291"/>
      <c r="AJ40" s="3292"/>
    </row>
    <row r="41" spans="1:36" s="1088" customFormat="1" ht="12.95" customHeight="1">
      <c r="A41" s="3290"/>
      <c r="B41" s="3291"/>
      <c r="C41" s="3291"/>
      <c r="D41" s="3291"/>
      <c r="E41" s="3291"/>
      <c r="F41" s="3291"/>
      <c r="G41" s="3291"/>
      <c r="H41" s="3291"/>
      <c r="I41" s="3291"/>
      <c r="J41" s="3291"/>
      <c r="K41" s="3291"/>
      <c r="L41" s="3291"/>
      <c r="M41" s="3291"/>
      <c r="N41" s="3291"/>
      <c r="O41" s="3291"/>
      <c r="P41" s="3291"/>
      <c r="Q41" s="3291"/>
      <c r="R41" s="3291"/>
      <c r="S41" s="3291"/>
      <c r="T41" s="3291"/>
      <c r="U41" s="3291"/>
      <c r="V41" s="3291"/>
      <c r="W41" s="3291"/>
      <c r="X41" s="3291"/>
      <c r="Y41" s="3291"/>
      <c r="Z41" s="3291"/>
      <c r="AA41" s="3291"/>
      <c r="AB41" s="3291"/>
      <c r="AC41" s="3291"/>
      <c r="AD41" s="3291"/>
      <c r="AE41" s="3291"/>
      <c r="AF41" s="3291"/>
      <c r="AG41" s="3291"/>
      <c r="AH41" s="3291"/>
      <c r="AI41" s="3291"/>
      <c r="AJ41" s="3292"/>
    </row>
    <row r="42" spans="1:36" s="1088" customFormat="1" ht="12.95" customHeight="1">
      <c r="A42" s="3290"/>
      <c r="B42" s="3291"/>
      <c r="C42" s="3291"/>
      <c r="D42" s="3291"/>
      <c r="E42" s="3291"/>
      <c r="F42" s="3291"/>
      <c r="G42" s="3291"/>
      <c r="H42" s="3291"/>
      <c r="I42" s="3291"/>
      <c r="J42" s="3291"/>
      <c r="K42" s="3291"/>
      <c r="L42" s="3291"/>
      <c r="M42" s="3291"/>
      <c r="N42" s="3291"/>
      <c r="O42" s="3291"/>
      <c r="P42" s="3291"/>
      <c r="Q42" s="3291"/>
      <c r="R42" s="3291"/>
      <c r="S42" s="3291"/>
      <c r="T42" s="3291"/>
      <c r="U42" s="3291"/>
      <c r="V42" s="3291"/>
      <c r="W42" s="3291"/>
      <c r="X42" s="3291"/>
      <c r="Y42" s="3291"/>
      <c r="Z42" s="3291"/>
      <c r="AA42" s="3291"/>
      <c r="AB42" s="3291"/>
      <c r="AC42" s="3291"/>
      <c r="AD42" s="3291"/>
      <c r="AE42" s="3291"/>
      <c r="AF42" s="3291"/>
      <c r="AG42" s="3291"/>
      <c r="AH42" s="3291"/>
      <c r="AI42" s="3291"/>
      <c r="AJ42" s="3292"/>
    </row>
    <row r="43" spans="1:36" s="89" customFormat="1" ht="20.100000000000001" customHeight="1">
      <c r="A43" s="3293"/>
      <c r="B43" s="3294"/>
      <c r="C43" s="3294"/>
      <c r="D43" s="3294"/>
      <c r="E43" s="3294"/>
      <c r="F43" s="3294"/>
      <c r="G43" s="3295" t="s">
        <v>10</v>
      </c>
      <c r="H43" s="3296"/>
      <c r="I43" s="3296"/>
      <c r="J43" s="3296"/>
      <c r="K43" s="3296"/>
      <c r="L43" s="3296"/>
      <c r="M43" s="3296"/>
      <c r="N43" s="3296"/>
      <c r="O43" s="3296"/>
      <c r="P43" s="3297"/>
      <c r="Q43" s="3296" t="s">
        <v>22</v>
      </c>
      <c r="R43" s="3296"/>
      <c r="S43" s="3296"/>
      <c r="T43" s="3296"/>
      <c r="U43" s="3296"/>
      <c r="V43" s="3296"/>
      <c r="W43" s="3296"/>
      <c r="X43" s="3296"/>
      <c r="Y43" s="3296"/>
      <c r="Z43" s="3296"/>
      <c r="AA43" s="3295" t="s">
        <v>23</v>
      </c>
      <c r="AB43" s="3296"/>
      <c r="AC43" s="3296"/>
      <c r="AD43" s="3296"/>
      <c r="AE43" s="3296"/>
      <c r="AF43" s="3296"/>
      <c r="AG43" s="3296"/>
      <c r="AH43" s="3296"/>
      <c r="AI43" s="3296"/>
      <c r="AJ43" s="3297"/>
    </row>
    <row r="44" spans="1:36" s="84" customFormat="1" ht="39.950000000000003" customHeight="1">
      <c r="A44" s="3298" t="s">
        <v>13</v>
      </c>
      <c r="B44" s="3299"/>
      <c r="C44" s="3299"/>
      <c r="D44" s="3299"/>
      <c r="E44" s="3299"/>
      <c r="F44" s="3300"/>
      <c r="G44" s="3301"/>
      <c r="H44" s="3302"/>
      <c r="I44" s="3302"/>
      <c r="J44" s="3302"/>
      <c r="K44" s="3302"/>
      <c r="L44" s="3302"/>
      <c r="M44" s="3302"/>
      <c r="N44" s="3302"/>
      <c r="O44" s="3302"/>
      <c r="P44" s="3303"/>
      <c r="Q44" s="3304"/>
      <c r="R44" s="3304"/>
      <c r="S44" s="3304"/>
      <c r="T44" s="3304"/>
      <c r="U44" s="3304"/>
      <c r="V44" s="3304"/>
      <c r="W44" s="3304"/>
      <c r="X44" s="3304"/>
      <c r="Y44" s="3304"/>
      <c r="Z44" s="3304"/>
      <c r="AA44" s="3305"/>
      <c r="AB44" s="3304"/>
      <c r="AC44" s="3304"/>
      <c r="AD44" s="3304"/>
      <c r="AE44" s="3304"/>
      <c r="AF44" s="3304"/>
      <c r="AG44" s="3304"/>
      <c r="AH44" s="3304"/>
      <c r="AI44" s="3304"/>
      <c r="AJ44" s="3306"/>
    </row>
    <row r="45" spans="1:36" s="84" customFormat="1" ht="15" customHeight="1">
      <c r="A45" s="3307" t="s">
        <v>621</v>
      </c>
      <c r="B45" s="3308"/>
      <c r="C45" s="3308"/>
      <c r="D45" s="3308"/>
      <c r="E45" s="3308"/>
      <c r="F45" s="3308"/>
      <c r="G45" s="3309" t="s">
        <v>560</v>
      </c>
      <c r="H45" s="2186"/>
      <c r="I45" s="2186"/>
      <c r="J45" s="2186"/>
      <c r="K45" s="2186"/>
      <c r="L45" s="2186"/>
      <c r="M45" s="2186"/>
      <c r="N45" s="2186"/>
      <c r="O45" s="2186"/>
      <c r="P45" s="3310"/>
      <c r="Q45" s="3311" t="s">
        <v>560</v>
      </c>
      <c r="R45" s="2184"/>
      <c r="S45" s="2184"/>
      <c r="T45" s="2184"/>
      <c r="U45" s="2184"/>
      <c r="V45" s="2184"/>
      <c r="W45" s="2184"/>
      <c r="X45" s="2184"/>
      <c r="Y45" s="2184"/>
      <c r="Z45" s="2184"/>
      <c r="AA45" s="3312" t="s">
        <v>560</v>
      </c>
      <c r="AB45" s="2184"/>
      <c r="AC45" s="2184"/>
      <c r="AD45" s="2184"/>
      <c r="AE45" s="2184"/>
      <c r="AF45" s="2184"/>
      <c r="AG45" s="2184"/>
      <c r="AH45" s="2184"/>
      <c r="AI45" s="2184"/>
      <c r="AJ45" s="3313"/>
    </row>
    <row r="46" spans="1:36" s="84" customFormat="1" ht="15" customHeight="1" thickBot="1">
      <c r="A46" s="3314" t="s">
        <v>14</v>
      </c>
      <c r="B46" s="3315"/>
      <c r="C46" s="3315"/>
      <c r="D46" s="3315"/>
      <c r="E46" s="3315"/>
      <c r="F46" s="3315"/>
      <c r="G46" s="3316" t="str">
        <f>IF(G45="--","",VLOOKUP(G45,firmas!A2:B31,2,0))</f>
        <v/>
      </c>
      <c r="H46" s="3317"/>
      <c r="I46" s="3317"/>
      <c r="J46" s="3317"/>
      <c r="K46" s="3317"/>
      <c r="L46" s="3317"/>
      <c r="M46" s="3317"/>
      <c r="N46" s="3317"/>
      <c r="O46" s="3317"/>
      <c r="P46" s="3318"/>
      <c r="Q46" s="3319" t="str">
        <f>IF(Q45="--","",VLOOKUP(Q45,firmas!A33:B35,2,0))</f>
        <v/>
      </c>
      <c r="R46" s="3319"/>
      <c r="S46" s="3319"/>
      <c r="T46" s="3319"/>
      <c r="U46" s="3319"/>
      <c r="V46" s="3319"/>
      <c r="W46" s="3319"/>
      <c r="X46" s="3319"/>
      <c r="Y46" s="3319"/>
      <c r="Z46" s="3319"/>
      <c r="AA46" s="3320" t="str">
        <f>IF(AA45="--","",VLOOKUP(AA45,[29]firmas!A33:B34,2))</f>
        <v/>
      </c>
      <c r="AB46" s="3319"/>
      <c r="AC46" s="3319"/>
      <c r="AD46" s="3319"/>
      <c r="AE46" s="3319"/>
      <c r="AF46" s="3319"/>
      <c r="AG46" s="3319"/>
      <c r="AH46" s="3319"/>
      <c r="AI46" s="3319"/>
      <c r="AJ46" s="3321"/>
    </row>
    <row r="47" spans="1:36" s="84" customFormat="1" ht="17.25" customHeight="1" thickTop="1" thickBot="1">
      <c r="A47" s="3322" t="s">
        <v>24</v>
      </c>
      <c r="B47" s="3322"/>
      <c r="C47" s="3322"/>
      <c r="D47" s="3322"/>
      <c r="E47" s="3322"/>
      <c r="F47" s="3322"/>
      <c r="G47" s="3322"/>
      <c r="H47" s="3322"/>
      <c r="I47" s="3322"/>
      <c r="J47" s="3322"/>
      <c r="K47" s="3322"/>
      <c r="L47" s="3322"/>
      <c r="M47" s="3322"/>
      <c r="N47" s="3322"/>
      <c r="O47" s="3322"/>
      <c r="P47" s="3322"/>
      <c r="Q47" s="3322"/>
      <c r="R47" s="3322"/>
      <c r="S47" s="3322"/>
      <c r="T47" s="3322"/>
      <c r="U47" s="3322"/>
      <c r="V47" s="3322"/>
      <c r="W47" s="3322"/>
      <c r="X47" s="3322"/>
      <c r="Y47" s="3322"/>
      <c r="Z47" s="3322"/>
      <c r="AA47" s="3322"/>
      <c r="AB47" s="3322"/>
      <c r="AC47" s="3322"/>
      <c r="AD47" s="3322"/>
      <c r="AE47" s="3322"/>
      <c r="AF47" s="3322"/>
      <c r="AG47" s="3322"/>
      <c r="AH47" s="3322"/>
      <c r="AI47" s="3322"/>
      <c r="AJ47" s="3322"/>
    </row>
    <row r="48" spans="1:36" s="84" customFormat="1" ht="20.100000000000001" customHeight="1" thickTop="1">
      <c r="A48" s="2208" t="s">
        <v>25</v>
      </c>
      <c r="B48" s="2208"/>
      <c r="C48" s="2208"/>
      <c r="D48" s="2208"/>
      <c r="E48" s="2208"/>
      <c r="F48" s="2208"/>
      <c r="G48" s="2208"/>
      <c r="H48" s="2208"/>
      <c r="I48" s="2208"/>
      <c r="J48" s="2208"/>
      <c r="K48" s="2208"/>
      <c r="L48" s="2208"/>
      <c r="M48" s="2208"/>
      <c r="N48" s="2208"/>
      <c r="O48" s="2208"/>
      <c r="P48" s="2208"/>
      <c r="Q48" s="2208"/>
      <c r="R48" s="2208"/>
      <c r="S48" s="2208"/>
      <c r="T48" s="2208"/>
      <c r="U48" s="2208"/>
      <c r="V48" s="2208"/>
      <c r="W48" s="2208"/>
      <c r="X48" s="2208"/>
      <c r="Y48" s="2208"/>
      <c r="Z48" s="2208"/>
      <c r="AA48" s="2208"/>
      <c r="AB48" s="2208"/>
      <c r="AC48" s="2208"/>
      <c r="AD48" s="2208"/>
      <c r="AE48" s="2208"/>
      <c r="AF48" s="2208"/>
      <c r="AG48" s="2208"/>
      <c r="AH48" s="2208"/>
      <c r="AI48" s="2208"/>
      <c r="AJ48" s="2208"/>
    </row>
    <row r="49" spans="1:36" s="91" customFormat="1" ht="30" customHeight="1">
      <c r="A49" s="1783" t="s">
        <v>16</v>
      </c>
      <c r="B49" s="1783"/>
      <c r="C49" s="1783"/>
      <c r="D49" s="1783"/>
      <c r="E49" s="1783"/>
      <c r="F49" s="1783"/>
      <c r="G49" s="1783"/>
      <c r="H49" s="1783"/>
      <c r="I49" s="1783"/>
      <c r="J49" s="1783"/>
      <c r="K49" s="1783"/>
      <c r="L49" s="1783"/>
      <c r="M49" s="1783"/>
      <c r="N49" s="1783"/>
      <c r="O49" s="1783"/>
      <c r="P49" s="1783"/>
      <c r="Q49" s="1783"/>
      <c r="R49" s="1783"/>
      <c r="S49" s="1783"/>
      <c r="T49" s="1783"/>
      <c r="U49" s="1783"/>
      <c r="V49" s="1783"/>
      <c r="W49" s="1783"/>
      <c r="X49" s="1783"/>
      <c r="Y49" s="1783"/>
      <c r="Z49" s="1783"/>
      <c r="AA49" s="1783"/>
      <c r="AB49" s="1783"/>
      <c r="AC49" s="1783"/>
      <c r="AD49" s="1783"/>
      <c r="AE49" s="1783"/>
      <c r="AF49" s="1783"/>
      <c r="AG49" s="1783"/>
      <c r="AH49" s="1783"/>
      <c r="AI49" s="1783"/>
      <c r="AJ49" s="1783"/>
    </row>
    <row r="50" spans="1:36" s="84" customFormat="1" ht="18.75" customHeight="1">
      <c r="A50" s="1078"/>
      <c r="B50" s="1078"/>
      <c r="C50" s="1078"/>
      <c r="D50" s="1078"/>
      <c r="E50" s="1078"/>
      <c r="F50" s="1078"/>
      <c r="G50" s="1078"/>
      <c r="H50" s="1078"/>
      <c r="I50" s="1078"/>
      <c r="J50" s="1078"/>
      <c r="K50" s="1078"/>
      <c r="L50" s="1078"/>
      <c r="M50" s="1078"/>
      <c r="N50" s="1078"/>
      <c r="O50" s="1078"/>
      <c r="P50" s="1078"/>
      <c r="Q50" s="1078"/>
      <c r="R50" s="1078"/>
      <c r="S50" s="1078"/>
      <c r="T50" s="1078"/>
      <c r="U50" s="1078"/>
      <c r="V50" s="1078"/>
      <c r="W50" s="1078"/>
      <c r="X50" s="1078"/>
      <c r="Y50" s="1078"/>
      <c r="Z50" s="1078"/>
      <c r="AA50" s="1078"/>
      <c r="AB50" s="1078"/>
      <c r="AC50" s="1078"/>
      <c r="AD50" s="1078"/>
      <c r="AE50" s="1078"/>
      <c r="AF50" s="1078"/>
      <c r="AG50" s="1078"/>
      <c r="AH50" s="1078"/>
      <c r="AI50" s="1078"/>
      <c r="AJ50" s="1078"/>
    </row>
    <row r="51" spans="1:36" s="84" customFormat="1" ht="30" customHeight="1">
      <c r="A51" s="1078"/>
      <c r="B51" s="1078"/>
      <c r="C51" s="1078"/>
      <c r="D51" s="1078"/>
      <c r="E51" s="1078"/>
      <c r="F51" s="1078"/>
      <c r="G51" s="1078"/>
      <c r="H51" s="1078"/>
      <c r="I51" s="1078"/>
      <c r="J51" s="1078"/>
      <c r="K51" s="1078"/>
      <c r="L51" s="1078"/>
      <c r="M51" s="1078"/>
      <c r="N51" s="1078"/>
      <c r="O51" s="1078"/>
      <c r="P51" s="1078"/>
      <c r="Q51" s="1078"/>
      <c r="R51" s="1078"/>
      <c r="S51" s="1078"/>
      <c r="T51" s="1078"/>
      <c r="U51" s="1078"/>
      <c r="V51" s="1078"/>
      <c r="W51" s="1078"/>
      <c r="X51" s="1078"/>
      <c r="Y51" s="1078"/>
      <c r="Z51" s="1078"/>
      <c r="AA51" s="1078"/>
      <c r="AB51" s="1078"/>
      <c r="AC51" s="1078"/>
      <c r="AD51" s="1078"/>
      <c r="AE51" s="1078"/>
      <c r="AF51" s="1078"/>
      <c r="AG51" s="1078"/>
      <c r="AH51" s="1078"/>
      <c r="AI51" s="1078"/>
      <c r="AJ51" s="1078"/>
    </row>
    <row r="52" spans="1:36" ht="45" customHeight="1"/>
  </sheetData>
  <sheetProtection algorithmName="SHA-512" hashValue="Xtp5yFOfo2WbbQ2PHv3RKVrrdW4TmKtmCGuYpwMcDuLEdfh1ANh6PvHWv3EEUmu0O9gg1f/w1sNYD+3FXjcIPQ==" saltValue="vz/vVKN3m4CrTp64qNcDMw==" spinCount="100000" sheet="1" formatCells="0" formatColumns="0" formatRows="0"/>
  <mergeCells count="80">
    <mergeCell ref="A49:AJ49"/>
    <mergeCell ref="A46:F46"/>
    <mergeCell ref="G46:P46"/>
    <mergeCell ref="Q46:Z46"/>
    <mergeCell ref="AA46:AJ46"/>
    <mergeCell ref="A47:AJ47"/>
    <mergeCell ref="A48:AJ48"/>
    <mergeCell ref="A44:F44"/>
    <mergeCell ref="G44:P44"/>
    <mergeCell ref="Q44:Z44"/>
    <mergeCell ref="AA44:AJ44"/>
    <mergeCell ref="A45:F45"/>
    <mergeCell ref="G45:P45"/>
    <mergeCell ref="Q45:Z45"/>
    <mergeCell ref="AA45:AJ45"/>
    <mergeCell ref="A40:AJ40"/>
    <mergeCell ref="A41:AJ41"/>
    <mergeCell ref="A42:AJ42"/>
    <mergeCell ref="A43:F43"/>
    <mergeCell ref="G43:P43"/>
    <mergeCell ref="Q43:Z43"/>
    <mergeCell ref="AA43:AJ43"/>
    <mergeCell ref="AG20:AI21"/>
    <mergeCell ref="A39:F39"/>
    <mergeCell ref="G39:AJ39"/>
    <mergeCell ref="A26:AJ26"/>
    <mergeCell ref="E28:L29"/>
    <mergeCell ref="N28:P29"/>
    <mergeCell ref="T28:AA29"/>
    <mergeCell ref="AC28:AE29"/>
    <mergeCell ref="AG28:AI29"/>
    <mergeCell ref="L31:S32"/>
    <mergeCell ref="U31:W32"/>
    <mergeCell ref="A34:AJ34"/>
    <mergeCell ref="L36:S37"/>
    <mergeCell ref="U36:W37"/>
    <mergeCell ref="A11:T11"/>
    <mergeCell ref="Z11:AD11"/>
    <mergeCell ref="A12:T12"/>
    <mergeCell ref="Z12:AD12"/>
    <mergeCell ref="J23:S24"/>
    <mergeCell ref="U23:W24"/>
    <mergeCell ref="A13:T13"/>
    <mergeCell ref="Z13:AD13"/>
    <mergeCell ref="A14:T14"/>
    <mergeCell ref="Z14:AD14"/>
    <mergeCell ref="Z15:AD15"/>
    <mergeCell ref="A18:AJ18"/>
    <mergeCell ref="E20:L21"/>
    <mergeCell ref="N20:P21"/>
    <mergeCell ref="T20:AA21"/>
    <mergeCell ref="AC20:AE21"/>
    <mergeCell ref="A9:D9"/>
    <mergeCell ref="E9:X9"/>
    <mergeCell ref="Y9:AD9"/>
    <mergeCell ref="AE9:AJ9"/>
    <mergeCell ref="A10:T10"/>
    <mergeCell ref="Z10:AD10"/>
    <mergeCell ref="A6:D6"/>
    <mergeCell ref="E6:X6"/>
    <mergeCell ref="Y6:AD6"/>
    <mergeCell ref="AE6:AJ6"/>
    <mergeCell ref="A7:D7"/>
    <mergeCell ref="E7:L7"/>
    <mergeCell ref="M7:P7"/>
    <mergeCell ref="Q7:X7"/>
    <mergeCell ref="Y7:AD7"/>
    <mergeCell ref="AE7:AJ7"/>
    <mergeCell ref="H5:AJ5"/>
    <mergeCell ref="H1:AJ1"/>
    <mergeCell ref="H2:AJ2"/>
    <mergeCell ref="H3:AJ3"/>
    <mergeCell ref="H4:X4"/>
    <mergeCell ref="Y4:AJ4"/>
    <mergeCell ref="AE8:AJ8"/>
    <mergeCell ref="A8:D8"/>
    <mergeCell ref="E8:L8"/>
    <mergeCell ref="M8:P8"/>
    <mergeCell ref="Q8:X8"/>
    <mergeCell ref="Y8:AD8"/>
  </mergeCells>
  <dataValidations count="1">
    <dataValidation type="list" allowBlank="1" showInputMessage="1" showErrorMessage="1" sqref="Z15:AD15">
      <formula1>$AK$14:$AK$15</formula1>
    </dataValidation>
  </dataValidations>
  <printOptions horizontalCentered="1"/>
  <pageMargins left="0.59055118110236227" right="0.19685039370078741" top="0" bottom="0" header="0" footer="0.78740157480314965"/>
  <pageSetup orientation="portrait" r:id="rId1"/>
  <headerFooter alignWithMargins="0">
    <oddHeader xml:space="preserve">&amp;L&amp;"Eurostile Extended,Regular Negrita"&amp;16
</oddHeader>
    <oddFooter>&amp;L&amp;6Calle 26 No. 57-41 Torre 8 Pisos 7-8 CEMSA - CP: 1113111            
Pbx: 3779555  - Información: Línea 195     
www.umv.gov.co111311&amp;C&amp;6GLAB-FM-019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AA45:AJ45</xm:sqref>
        </x14:dataValidation>
        <x14:dataValidation type="list" allowBlank="1" showInputMessage="1" showErrorMessage="1">
          <x14:formula1>
            <xm:f>firmas!$A$2:$A$31</xm:f>
          </x14:formula1>
          <xm:sqref>G45:P45</xm:sqref>
        </x14:dataValidation>
        <x14:dataValidation type="list" allowBlank="1" showInputMessage="1" showErrorMessage="1">
          <x14:formula1>
            <xm:f>firmas!$A$33:$A$35</xm:f>
          </x14:formula1>
          <xm:sqref>Q45:Z45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59"/>
  <sheetViews>
    <sheetView showGridLines="0" view="pageBreakPreview" topLeftCell="AC22" zoomScaleSheetLayoutView="100" workbookViewId="0">
      <selection activeCell="AD36" sqref="AD36:AE36"/>
    </sheetView>
  </sheetViews>
  <sheetFormatPr baseColWidth="10" defaultColWidth="9.140625" defaultRowHeight="12.75"/>
  <cols>
    <col min="1" max="26" width="3.5703125" style="609" customWidth="1"/>
    <col min="27" max="27" width="13.28515625" style="609" customWidth="1"/>
    <col min="28" max="29" width="19.7109375" style="609" customWidth="1"/>
    <col min="30" max="30" width="23" style="609" customWidth="1"/>
    <col min="31" max="32" width="19.7109375" style="609" customWidth="1"/>
    <col min="33" max="33" width="3.5703125" style="609" customWidth="1"/>
    <col min="34" max="34" width="19.140625" style="609" customWidth="1"/>
    <col min="35" max="52" width="25.5703125" style="609" customWidth="1"/>
    <col min="53" max="53" width="7.28515625" style="609" customWidth="1"/>
    <col min="54" max="54" width="4.42578125" style="609" customWidth="1"/>
    <col min="55" max="55" width="25" style="609" customWidth="1"/>
    <col min="56" max="62" width="23.28515625" style="609" customWidth="1"/>
    <col min="63" max="63" width="15.85546875" style="609" customWidth="1"/>
    <col min="64" max="64" width="19.42578125" style="609" customWidth="1"/>
    <col min="65" max="277" width="9.140625" style="609"/>
    <col min="278" max="278" width="17.140625" style="609" customWidth="1"/>
    <col min="279" max="284" width="8.7109375" style="609" customWidth="1"/>
    <col min="285" max="285" width="6.7109375" style="609" customWidth="1"/>
    <col min="286" max="286" width="3.7109375" style="609" customWidth="1"/>
    <col min="287" max="287" width="15.7109375" style="609" customWidth="1"/>
    <col min="288" max="533" width="9.140625" style="609"/>
    <col min="534" max="534" width="17.140625" style="609" customWidth="1"/>
    <col min="535" max="540" width="8.7109375" style="609" customWidth="1"/>
    <col min="541" max="541" width="6.7109375" style="609" customWidth="1"/>
    <col min="542" max="542" width="3.7109375" style="609" customWidth="1"/>
    <col min="543" max="543" width="15.7109375" style="609" customWidth="1"/>
    <col min="544" max="789" width="9.140625" style="609"/>
    <col min="790" max="790" width="17.140625" style="609" customWidth="1"/>
    <col min="791" max="796" width="8.7109375" style="609" customWidth="1"/>
    <col min="797" max="797" width="6.7109375" style="609" customWidth="1"/>
    <col min="798" max="798" width="3.7109375" style="609" customWidth="1"/>
    <col min="799" max="799" width="15.7109375" style="609" customWidth="1"/>
    <col min="800" max="1045" width="9.140625" style="609"/>
    <col min="1046" max="1046" width="17.140625" style="609" customWidth="1"/>
    <col min="1047" max="1052" width="8.7109375" style="609" customWidth="1"/>
    <col min="1053" max="1053" width="6.7109375" style="609" customWidth="1"/>
    <col min="1054" max="1054" width="3.7109375" style="609" customWidth="1"/>
    <col min="1055" max="1055" width="15.7109375" style="609" customWidth="1"/>
    <col min="1056" max="1301" width="9.140625" style="609"/>
    <col min="1302" max="1302" width="17.140625" style="609" customWidth="1"/>
    <col min="1303" max="1308" width="8.7109375" style="609" customWidth="1"/>
    <col min="1309" max="1309" width="6.7109375" style="609" customWidth="1"/>
    <col min="1310" max="1310" width="3.7109375" style="609" customWidth="1"/>
    <col min="1311" max="1311" width="15.7109375" style="609" customWidth="1"/>
    <col min="1312" max="1557" width="9.140625" style="609"/>
    <col min="1558" max="1558" width="17.140625" style="609" customWidth="1"/>
    <col min="1559" max="1564" width="8.7109375" style="609" customWidth="1"/>
    <col min="1565" max="1565" width="6.7109375" style="609" customWidth="1"/>
    <col min="1566" max="1566" width="3.7109375" style="609" customWidth="1"/>
    <col min="1567" max="1567" width="15.7109375" style="609" customWidth="1"/>
    <col min="1568" max="1813" width="9.140625" style="609"/>
    <col min="1814" max="1814" width="17.140625" style="609" customWidth="1"/>
    <col min="1815" max="1820" width="8.7109375" style="609" customWidth="1"/>
    <col min="1821" max="1821" width="6.7109375" style="609" customWidth="1"/>
    <col min="1822" max="1822" width="3.7109375" style="609" customWidth="1"/>
    <col min="1823" max="1823" width="15.7109375" style="609" customWidth="1"/>
    <col min="1824" max="2069" width="9.140625" style="609"/>
    <col min="2070" max="2070" width="17.140625" style="609" customWidth="1"/>
    <col min="2071" max="2076" width="8.7109375" style="609" customWidth="1"/>
    <col min="2077" max="2077" width="6.7109375" style="609" customWidth="1"/>
    <col min="2078" max="2078" width="3.7109375" style="609" customWidth="1"/>
    <col min="2079" max="2079" width="15.7109375" style="609" customWidth="1"/>
    <col min="2080" max="2325" width="9.140625" style="609"/>
    <col min="2326" max="2326" width="17.140625" style="609" customWidth="1"/>
    <col min="2327" max="2332" width="8.7109375" style="609" customWidth="1"/>
    <col min="2333" max="2333" width="6.7109375" style="609" customWidth="1"/>
    <col min="2334" max="2334" width="3.7109375" style="609" customWidth="1"/>
    <col min="2335" max="2335" width="15.7109375" style="609" customWidth="1"/>
    <col min="2336" max="2581" width="9.140625" style="609"/>
    <col min="2582" max="2582" width="17.140625" style="609" customWidth="1"/>
    <col min="2583" max="2588" width="8.7109375" style="609" customWidth="1"/>
    <col min="2589" max="2589" width="6.7109375" style="609" customWidth="1"/>
    <col min="2590" max="2590" width="3.7109375" style="609" customWidth="1"/>
    <col min="2591" max="2591" width="15.7109375" style="609" customWidth="1"/>
    <col min="2592" max="2837" width="9.140625" style="609"/>
    <col min="2838" max="2838" width="17.140625" style="609" customWidth="1"/>
    <col min="2839" max="2844" width="8.7109375" style="609" customWidth="1"/>
    <col min="2845" max="2845" width="6.7109375" style="609" customWidth="1"/>
    <col min="2846" max="2846" width="3.7109375" style="609" customWidth="1"/>
    <col min="2847" max="2847" width="15.7109375" style="609" customWidth="1"/>
    <col min="2848" max="3093" width="9.140625" style="609"/>
    <col min="3094" max="3094" width="17.140625" style="609" customWidth="1"/>
    <col min="3095" max="3100" width="8.7109375" style="609" customWidth="1"/>
    <col min="3101" max="3101" width="6.7109375" style="609" customWidth="1"/>
    <col min="3102" max="3102" width="3.7109375" style="609" customWidth="1"/>
    <col min="3103" max="3103" width="15.7109375" style="609" customWidth="1"/>
    <col min="3104" max="3349" width="9.140625" style="609"/>
    <col min="3350" max="3350" width="17.140625" style="609" customWidth="1"/>
    <col min="3351" max="3356" width="8.7109375" style="609" customWidth="1"/>
    <col min="3357" max="3357" width="6.7109375" style="609" customWidth="1"/>
    <col min="3358" max="3358" width="3.7109375" style="609" customWidth="1"/>
    <col min="3359" max="3359" width="15.7109375" style="609" customWidth="1"/>
    <col min="3360" max="3605" width="9.140625" style="609"/>
    <col min="3606" max="3606" width="17.140625" style="609" customWidth="1"/>
    <col min="3607" max="3612" width="8.7109375" style="609" customWidth="1"/>
    <col min="3613" max="3613" width="6.7109375" style="609" customWidth="1"/>
    <col min="3614" max="3614" width="3.7109375" style="609" customWidth="1"/>
    <col min="3615" max="3615" width="15.7109375" style="609" customWidth="1"/>
    <col min="3616" max="3861" width="9.140625" style="609"/>
    <col min="3862" max="3862" width="17.140625" style="609" customWidth="1"/>
    <col min="3863" max="3868" width="8.7109375" style="609" customWidth="1"/>
    <col min="3869" max="3869" width="6.7109375" style="609" customWidth="1"/>
    <col min="3870" max="3870" width="3.7109375" style="609" customWidth="1"/>
    <col min="3871" max="3871" width="15.7109375" style="609" customWidth="1"/>
    <col min="3872" max="4117" width="9.140625" style="609"/>
    <col min="4118" max="4118" width="17.140625" style="609" customWidth="1"/>
    <col min="4119" max="4124" width="8.7109375" style="609" customWidth="1"/>
    <col min="4125" max="4125" width="6.7109375" style="609" customWidth="1"/>
    <col min="4126" max="4126" width="3.7109375" style="609" customWidth="1"/>
    <col min="4127" max="4127" width="15.7109375" style="609" customWidth="1"/>
    <col min="4128" max="4373" width="9.140625" style="609"/>
    <col min="4374" max="4374" width="17.140625" style="609" customWidth="1"/>
    <col min="4375" max="4380" width="8.7109375" style="609" customWidth="1"/>
    <col min="4381" max="4381" width="6.7109375" style="609" customWidth="1"/>
    <col min="4382" max="4382" width="3.7109375" style="609" customWidth="1"/>
    <col min="4383" max="4383" width="15.7109375" style="609" customWidth="1"/>
    <col min="4384" max="4629" width="9.140625" style="609"/>
    <col min="4630" max="4630" width="17.140625" style="609" customWidth="1"/>
    <col min="4631" max="4636" width="8.7109375" style="609" customWidth="1"/>
    <col min="4637" max="4637" width="6.7109375" style="609" customWidth="1"/>
    <col min="4638" max="4638" width="3.7109375" style="609" customWidth="1"/>
    <col min="4639" max="4639" width="15.7109375" style="609" customWidth="1"/>
    <col min="4640" max="4885" width="9.140625" style="609"/>
    <col min="4886" max="4886" width="17.140625" style="609" customWidth="1"/>
    <col min="4887" max="4892" width="8.7109375" style="609" customWidth="1"/>
    <col min="4893" max="4893" width="6.7109375" style="609" customWidth="1"/>
    <col min="4894" max="4894" width="3.7109375" style="609" customWidth="1"/>
    <col min="4895" max="4895" width="15.7109375" style="609" customWidth="1"/>
    <col min="4896" max="5141" width="9.140625" style="609"/>
    <col min="5142" max="5142" width="17.140625" style="609" customWidth="1"/>
    <col min="5143" max="5148" width="8.7109375" style="609" customWidth="1"/>
    <col min="5149" max="5149" width="6.7109375" style="609" customWidth="1"/>
    <col min="5150" max="5150" width="3.7109375" style="609" customWidth="1"/>
    <col min="5151" max="5151" width="15.7109375" style="609" customWidth="1"/>
    <col min="5152" max="5397" width="9.140625" style="609"/>
    <col min="5398" max="5398" width="17.140625" style="609" customWidth="1"/>
    <col min="5399" max="5404" width="8.7109375" style="609" customWidth="1"/>
    <col min="5405" max="5405" width="6.7109375" style="609" customWidth="1"/>
    <col min="5406" max="5406" width="3.7109375" style="609" customWidth="1"/>
    <col min="5407" max="5407" width="15.7109375" style="609" customWidth="1"/>
    <col min="5408" max="5653" width="9.140625" style="609"/>
    <col min="5654" max="5654" width="17.140625" style="609" customWidth="1"/>
    <col min="5655" max="5660" width="8.7109375" style="609" customWidth="1"/>
    <col min="5661" max="5661" width="6.7109375" style="609" customWidth="1"/>
    <col min="5662" max="5662" width="3.7109375" style="609" customWidth="1"/>
    <col min="5663" max="5663" width="15.7109375" style="609" customWidth="1"/>
    <col min="5664" max="5909" width="9.140625" style="609"/>
    <col min="5910" max="5910" width="17.140625" style="609" customWidth="1"/>
    <col min="5911" max="5916" width="8.7109375" style="609" customWidth="1"/>
    <col min="5917" max="5917" width="6.7109375" style="609" customWidth="1"/>
    <col min="5918" max="5918" width="3.7109375" style="609" customWidth="1"/>
    <col min="5919" max="5919" width="15.7109375" style="609" customWidth="1"/>
    <col min="5920" max="6165" width="9.140625" style="609"/>
    <col min="6166" max="6166" width="17.140625" style="609" customWidth="1"/>
    <col min="6167" max="6172" width="8.7109375" style="609" customWidth="1"/>
    <col min="6173" max="6173" width="6.7109375" style="609" customWidth="1"/>
    <col min="6174" max="6174" width="3.7109375" style="609" customWidth="1"/>
    <col min="6175" max="6175" width="15.7109375" style="609" customWidth="1"/>
    <col min="6176" max="6421" width="9.140625" style="609"/>
    <col min="6422" max="6422" width="17.140625" style="609" customWidth="1"/>
    <col min="6423" max="6428" width="8.7109375" style="609" customWidth="1"/>
    <col min="6429" max="6429" width="6.7109375" style="609" customWidth="1"/>
    <col min="6430" max="6430" width="3.7109375" style="609" customWidth="1"/>
    <col min="6431" max="6431" width="15.7109375" style="609" customWidth="1"/>
    <col min="6432" max="6677" width="9.140625" style="609"/>
    <col min="6678" max="6678" width="17.140625" style="609" customWidth="1"/>
    <col min="6679" max="6684" width="8.7109375" style="609" customWidth="1"/>
    <col min="6685" max="6685" width="6.7109375" style="609" customWidth="1"/>
    <col min="6686" max="6686" width="3.7109375" style="609" customWidth="1"/>
    <col min="6687" max="6687" width="15.7109375" style="609" customWidth="1"/>
    <col min="6688" max="6933" width="9.140625" style="609"/>
    <col min="6934" max="6934" width="17.140625" style="609" customWidth="1"/>
    <col min="6935" max="6940" width="8.7109375" style="609" customWidth="1"/>
    <col min="6941" max="6941" width="6.7109375" style="609" customWidth="1"/>
    <col min="6942" max="6942" width="3.7109375" style="609" customWidth="1"/>
    <col min="6943" max="6943" width="15.7109375" style="609" customWidth="1"/>
    <col min="6944" max="7189" width="9.140625" style="609"/>
    <col min="7190" max="7190" width="17.140625" style="609" customWidth="1"/>
    <col min="7191" max="7196" width="8.7109375" style="609" customWidth="1"/>
    <col min="7197" max="7197" width="6.7109375" style="609" customWidth="1"/>
    <col min="7198" max="7198" width="3.7109375" style="609" customWidth="1"/>
    <col min="7199" max="7199" width="15.7109375" style="609" customWidth="1"/>
    <col min="7200" max="7445" width="9.140625" style="609"/>
    <col min="7446" max="7446" width="17.140625" style="609" customWidth="1"/>
    <col min="7447" max="7452" width="8.7109375" style="609" customWidth="1"/>
    <col min="7453" max="7453" width="6.7109375" style="609" customWidth="1"/>
    <col min="7454" max="7454" width="3.7109375" style="609" customWidth="1"/>
    <col min="7455" max="7455" width="15.7109375" style="609" customWidth="1"/>
    <col min="7456" max="7701" width="9.140625" style="609"/>
    <col min="7702" max="7702" width="17.140625" style="609" customWidth="1"/>
    <col min="7703" max="7708" width="8.7109375" style="609" customWidth="1"/>
    <col min="7709" max="7709" width="6.7109375" style="609" customWidth="1"/>
    <col min="7710" max="7710" width="3.7109375" style="609" customWidth="1"/>
    <col min="7711" max="7711" width="15.7109375" style="609" customWidth="1"/>
    <col min="7712" max="7957" width="9.140625" style="609"/>
    <col min="7958" max="7958" width="17.140625" style="609" customWidth="1"/>
    <col min="7959" max="7964" width="8.7109375" style="609" customWidth="1"/>
    <col min="7965" max="7965" width="6.7109375" style="609" customWidth="1"/>
    <col min="7966" max="7966" width="3.7109375" style="609" customWidth="1"/>
    <col min="7967" max="7967" width="15.7109375" style="609" customWidth="1"/>
    <col min="7968" max="8213" width="9.140625" style="609"/>
    <col min="8214" max="8214" width="17.140625" style="609" customWidth="1"/>
    <col min="8215" max="8220" width="8.7109375" style="609" customWidth="1"/>
    <col min="8221" max="8221" width="6.7109375" style="609" customWidth="1"/>
    <col min="8222" max="8222" width="3.7109375" style="609" customWidth="1"/>
    <col min="8223" max="8223" width="15.7109375" style="609" customWidth="1"/>
    <col min="8224" max="8469" width="9.140625" style="609"/>
    <col min="8470" max="8470" width="17.140625" style="609" customWidth="1"/>
    <col min="8471" max="8476" width="8.7109375" style="609" customWidth="1"/>
    <col min="8477" max="8477" width="6.7109375" style="609" customWidth="1"/>
    <col min="8478" max="8478" width="3.7109375" style="609" customWidth="1"/>
    <col min="8479" max="8479" width="15.7109375" style="609" customWidth="1"/>
    <col min="8480" max="8725" width="9.140625" style="609"/>
    <col min="8726" max="8726" width="17.140625" style="609" customWidth="1"/>
    <col min="8727" max="8732" width="8.7109375" style="609" customWidth="1"/>
    <col min="8733" max="8733" width="6.7109375" style="609" customWidth="1"/>
    <col min="8734" max="8734" width="3.7109375" style="609" customWidth="1"/>
    <col min="8735" max="8735" width="15.7109375" style="609" customWidth="1"/>
    <col min="8736" max="8981" width="9.140625" style="609"/>
    <col min="8982" max="8982" width="17.140625" style="609" customWidth="1"/>
    <col min="8983" max="8988" width="8.7109375" style="609" customWidth="1"/>
    <col min="8989" max="8989" width="6.7109375" style="609" customWidth="1"/>
    <col min="8990" max="8990" width="3.7109375" style="609" customWidth="1"/>
    <col min="8991" max="8991" width="15.7109375" style="609" customWidth="1"/>
    <col min="8992" max="9237" width="9.140625" style="609"/>
    <col min="9238" max="9238" width="17.140625" style="609" customWidth="1"/>
    <col min="9239" max="9244" width="8.7109375" style="609" customWidth="1"/>
    <col min="9245" max="9245" width="6.7109375" style="609" customWidth="1"/>
    <col min="9246" max="9246" width="3.7109375" style="609" customWidth="1"/>
    <col min="9247" max="9247" width="15.7109375" style="609" customWidth="1"/>
    <col min="9248" max="9493" width="9.140625" style="609"/>
    <col min="9494" max="9494" width="17.140625" style="609" customWidth="1"/>
    <col min="9495" max="9500" width="8.7109375" style="609" customWidth="1"/>
    <col min="9501" max="9501" width="6.7109375" style="609" customWidth="1"/>
    <col min="9502" max="9502" width="3.7109375" style="609" customWidth="1"/>
    <col min="9503" max="9503" width="15.7109375" style="609" customWidth="1"/>
    <col min="9504" max="9749" width="9.140625" style="609"/>
    <col min="9750" max="9750" width="17.140625" style="609" customWidth="1"/>
    <col min="9751" max="9756" width="8.7109375" style="609" customWidth="1"/>
    <col min="9757" max="9757" width="6.7109375" style="609" customWidth="1"/>
    <col min="9758" max="9758" width="3.7109375" style="609" customWidth="1"/>
    <col min="9759" max="9759" width="15.7109375" style="609" customWidth="1"/>
    <col min="9760" max="10005" width="9.140625" style="609"/>
    <col min="10006" max="10006" width="17.140625" style="609" customWidth="1"/>
    <col min="10007" max="10012" width="8.7109375" style="609" customWidth="1"/>
    <col min="10013" max="10013" width="6.7109375" style="609" customWidth="1"/>
    <col min="10014" max="10014" width="3.7109375" style="609" customWidth="1"/>
    <col min="10015" max="10015" width="15.7109375" style="609" customWidth="1"/>
    <col min="10016" max="10261" width="9.140625" style="609"/>
    <col min="10262" max="10262" width="17.140625" style="609" customWidth="1"/>
    <col min="10263" max="10268" width="8.7109375" style="609" customWidth="1"/>
    <col min="10269" max="10269" width="6.7109375" style="609" customWidth="1"/>
    <col min="10270" max="10270" width="3.7109375" style="609" customWidth="1"/>
    <col min="10271" max="10271" width="15.7109375" style="609" customWidth="1"/>
    <col min="10272" max="10517" width="9.140625" style="609"/>
    <col min="10518" max="10518" width="17.140625" style="609" customWidth="1"/>
    <col min="10519" max="10524" width="8.7109375" style="609" customWidth="1"/>
    <col min="10525" max="10525" width="6.7109375" style="609" customWidth="1"/>
    <col min="10526" max="10526" width="3.7109375" style="609" customWidth="1"/>
    <col min="10527" max="10527" width="15.7109375" style="609" customWidth="1"/>
    <col min="10528" max="10773" width="9.140625" style="609"/>
    <col min="10774" max="10774" width="17.140625" style="609" customWidth="1"/>
    <col min="10775" max="10780" width="8.7109375" style="609" customWidth="1"/>
    <col min="10781" max="10781" width="6.7109375" style="609" customWidth="1"/>
    <col min="10782" max="10782" width="3.7109375" style="609" customWidth="1"/>
    <col min="10783" max="10783" width="15.7109375" style="609" customWidth="1"/>
    <col min="10784" max="11029" width="9.140625" style="609"/>
    <col min="11030" max="11030" width="17.140625" style="609" customWidth="1"/>
    <col min="11031" max="11036" width="8.7109375" style="609" customWidth="1"/>
    <col min="11037" max="11037" width="6.7109375" style="609" customWidth="1"/>
    <col min="11038" max="11038" width="3.7109375" style="609" customWidth="1"/>
    <col min="11039" max="11039" width="15.7109375" style="609" customWidth="1"/>
    <col min="11040" max="11285" width="9.140625" style="609"/>
    <col min="11286" max="11286" width="17.140625" style="609" customWidth="1"/>
    <col min="11287" max="11292" width="8.7109375" style="609" customWidth="1"/>
    <col min="11293" max="11293" width="6.7109375" style="609" customWidth="1"/>
    <col min="11294" max="11294" width="3.7109375" style="609" customWidth="1"/>
    <col min="11295" max="11295" width="15.7109375" style="609" customWidth="1"/>
    <col min="11296" max="11541" width="9.140625" style="609"/>
    <col min="11542" max="11542" width="17.140625" style="609" customWidth="1"/>
    <col min="11543" max="11548" width="8.7109375" style="609" customWidth="1"/>
    <col min="11549" max="11549" width="6.7109375" style="609" customWidth="1"/>
    <col min="11550" max="11550" width="3.7109375" style="609" customWidth="1"/>
    <col min="11551" max="11551" width="15.7109375" style="609" customWidth="1"/>
    <col min="11552" max="11797" width="9.140625" style="609"/>
    <col min="11798" max="11798" width="17.140625" style="609" customWidth="1"/>
    <col min="11799" max="11804" width="8.7109375" style="609" customWidth="1"/>
    <col min="11805" max="11805" width="6.7109375" style="609" customWidth="1"/>
    <col min="11806" max="11806" width="3.7109375" style="609" customWidth="1"/>
    <col min="11807" max="11807" width="15.7109375" style="609" customWidth="1"/>
    <col min="11808" max="12053" width="9.140625" style="609"/>
    <col min="12054" max="12054" width="17.140625" style="609" customWidth="1"/>
    <col min="12055" max="12060" width="8.7109375" style="609" customWidth="1"/>
    <col min="12061" max="12061" width="6.7109375" style="609" customWidth="1"/>
    <col min="12062" max="12062" width="3.7109375" style="609" customWidth="1"/>
    <col min="12063" max="12063" width="15.7109375" style="609" customWidth="1"/>
    <col min="12064" max="12309" width="9.140625" style="609"/>
    <col min="12310" max="12310" width="17.140625" style="609" customWidth="1"/>
    <col min="12311" max="12316" width="8.7109375" style="609" customWidth="1"/>
    <col min="12317" max="12317" width="6.7109375" style="609" customWidth="1"/>
    <col min="12318" max="12318" width="3.7109375" style="609" customWidth="1"/>
    <col min="12319" max="12319" width="15.7109375" style="609" customWidth="1"/>
    <col min="12320" max="12565" width="9.140625" style="609"/>
    <col min="12566" max="12566" width="17.140625" style="609" customWidth="1"/>
    <col min="12567" max="12572" width="8.7109375" style="609" customWidth="1"/>
    <col min="12573" max="12573" width="6.7109375" style="609" customWidth="1"/>
    <col min="12574" max="12574" width="3.7109375" style="609" customWidth="1"/>
    <col min="12575" max="12575" width="15.7109375" style="609" customWidth="1"/>
    <col min="12576" max="12821" width="9.140625" style="609"/>
    <col min="12822" max="12822" width="17.140625" style="609" customWidth="1"/>
    <col min="12823" max="12828" width="8.7109375" style="609" customWidth="1"/>
    <col min="12829" max="12829" width="6.7109375" style="609" customWidth="1"/>
    <col min="12830" max="12830" width="3.7109375" style="609" customWidth="1"/>
    <col min="12831" max="12831" width="15.7109375" style="609" customWidth="1"/>
    <col min="12832" max="13077" width="9.140625" style="609"/>
    <col min="13078" max="13078" width="17.140625" style="609" customWidth="1"/>
    <col min="13079" max="13084" width="8.7109375" style="609" customWidth="1"/>
    <col min="13085" max="13085" width="6.7109375" style="609" customWidth="1"/>
    <col min="13086" max="13086" width="3.7109375" style="609" customWidth="1"/>
    <col min="13087" max="13087" width="15.7109375" style="609" customWidth="1"/>
    <col min="13088" max="13333" width="9.140625" style="609"/>
    <col min="13334" max="13334" width="17.140625" style="609" customWidth="1"/>
    <col min="13335" max="13340" width="8.7109375" style="609" customWidth="1"/>
    <col min="13341" max="13341" width="6.7109375" style="609" customWidth="1"/>
    <col min="13342" max="13342" width="3.7109375" style="609" customWidth="1"/>
    <col min="13343" max="13343" width="15.7109375" style="609" customWidth="1"/>
    <col min="13344" max="13589" width="9.140625" style="609"/>
    <col min="13590" max="13590" width="17.140625" style="609" customWidth="1"/>
    <col min="13591" max="13596" width="8.7109375" style="609" customWidth="1"/>
    <col min="13597" max="13597" width="6.7109375" style="609" customWidth="1"/>
    <col min="13598" max="13598" width="3.7109375" style="609" customWidth="1"/>
    <col min="13599" max="13599" width="15.7109375" style="609" customWidth="1"/>
    <col min="13600" max="13845" width="9.140625" style="609"/>
    <col min="13846" max="13846" width="17.140625" style="609" customWidth="1"/>
    <col min="13847" max="13852" width="8.7109375" style="609" customWidth="1"/>
    <col min="13853" max="13853" width="6.7109375" style="609" customWidth="1"/>
    <col min="13854" max="13854" width="3.7109375" style="609" customWidth="1"/>
    <col min="13855" max="13855" width="15.7109375" style="609" customWidth="1"/>
    <col min="13856" max="14101" width="9.140625" style="609"/>
    <col min="14102" max="14102" width="17.140625" style="609" customWidth="1"/>
    <col min="14103" max="14108" width="8.7109375" style="609" customWidth="1"/>
    <col min="14109" max="14109" width="6.7109375" style="609" customWidth="1"/>
    <col min="14110" max="14110" width="3.7109375" style="609" customWidth="1"/>
    <col min="14111" max="14111" width="15.7109375" style="609" customWidth="1"/>
    <col min="14112" max="14357" width="9.140625" style="609"/>
    <col min="14358" max="14358" width="17.140625" style="609" customWidth="1"/>
    <col min="14359" max="14364" width="8.7109375" style="609" customWidth="1"/>
    <col min="14365" max="14365" width="6.7109375" style="609" customWidth="1"/>
    <col min="14366" max="14366" width="3.7109375" style="609" customWidth="1"/>
    <col min="14367" max="14367" width="15.7109375" style="609" customWidth="1"/>
    <col min="14368" max="14613" width="9.140625" style="609"/>
    <col min="14614" max="14614" width="17.140625" style="609" customWidth="1"/>
    <col min="14615" max="14620" width="8.7109375" style="609" customWidth="1"/>
    <col min="14621" max="14621" width="6.7109375" style="609" customWidth="1"/>
    <col min="14622" max="14622" width="3.7109375" style="609" customWidth="1"/>
    <col min="14623" max="14623" width="15.7109375" style="609" customWidth="1"/>
    <col min="14624" max="14869" width="9.140625" style="609"/>
    <col min="14870" max="14870" width="17.140625" style="609" customWidth="1"/>
    <col min="14871" max="14876" width="8.7109375" style="609" customWidth="1"/>
    <col min="14877" max="14877" width="6.7109375" style="609" customWidth="1"/>
    <col min="14878" max="14878" width="3.7109375" style="609" customWidth="1"/>
    <col min="14879" max="14879" width="15.7109375" style="609" customWidth="1"/>
    <col min="14880" max="15125" width="9.140625" style="609"/>
    <col min="15126" max="15126" width="17.140625" style="609" customWidth="1"/>
    <col min="15127" max="15132" width="8.7109375" style="609" customWidth="1"/>
    <col min="15133" max="15133" width="6.7109375" style="609" customWidth="1"/>
    <col min="15134" max="15134" width="3.7109375" style="609" customWidth="1"/>
    <col min="15135" max="15135" width="15.7109375" style="609" customWidth="1"/>
    <col min="15136" max="15381" width="9.140625" style="609"/>
    <col min="15382" max="15382" width="17.140625" style="609" customWidth="1"/>
    <col min="15383" max="15388" width="8.7109375" style="609" customWidth="1"/>
    <col min="15389" max="15389" width="6.7109375" style="609" customWidth="1"/>
    <col min="15390" max="15390" width="3.7109375" style="609" customWidth="1"/>
    <col min="15391" max="15391" width="15.7109375" style="609" customWidth="1"/>
    <col min="15392" max="15637" width="9.140625" style="609"/>
    <col min="15638" max="15638" width="17.140625" style="609" customWidth="1"/>
    <col min="15639" max="15644" width="8.7109375" style="609" customWidth="1"/>
    <col min="15645" max="15645" width="6.7109375" style="609" customWidth="1"/>
    <col min="15646" max="15646" width="3.7109375" style="609" customWidth="1"/>
    <col min="15647" max="15647" width="15.7109375" style="609" customWidth="1"/>
    <col min="15648" max="15893" width="9.140625" style="609"/>
    <col min="15894" max="15894" width="17.140625" style="609" customWidth="1"/>
    <col min="15895" max="15900" width="8.7109375" style="609" customWidth="1"/>
    <col min="15901" max="15901" width="6.7109375" style="609" customWidth="1"/>
    <col min="15902" max="15902" width="3.7109375" style="609" customWidth="1"/>
    <col min="15903" max="15903" width="15.7109375" style="609" customWidth="1"/>
    <col min="15904" max="16149" width="9.140625" style="609"/>
    <col min="16150" max="16150" width="17.140625" style="609" customWidth="1"/>
    <col min="16151" max="16156" width="8.7109375" style="609" customWidth="1"/>
    <col min="16157" max="16157" width="6.7109375" style="609" customWidth="1"/>
    <col min="16158" max="16158" width="3.7109375" style="609" customWidth="1"/>
    <col min="16159" max="16159" width="15.7109375" style="609" customWidth="1"/>
    <col min="16160" max="16384" width="9.140625" style="609"/>
  </cols>
  <sheetData>
    <row r="1" spans="1:65" s="1452" customFormat="1" ht="15" customHeight="1">
      <c r="A1" s="3376"/>
      <c r="B1" s="3377"/>
      <c r="C1" s="3377"/>
      <c r="D1" s="3378"/>
      <c r="E1" s="3381" t="s">
        <v>9</v>
      </c>
      <c r="F1" s="3382"/>
      <c r="G1" s="3382"/>
      <c r="H1" s="3382"/>
      <c r="I1" s="3382"/>
      <c r="J1" s="3382"/>
      <c r="K1" s="3382"/>
      <c r="L1" s="3382"/>
      <c r="M1" s="3382"/>
      <c r="N1" s="3382"/>
      <c r="O1" s="3382"/>
      <c r="P1" s="3382"/>
      <c r="Q1" s="3382"/>
      <c r="R1" s="3382"/>
      <c r="S1" s="3382"/>
      <c r="T1" s="3382"/>
      <c r="U1" s="3382"/>
      <c r="V1" s="3382"/>
      <c r="W1" s="3382"/>
      <c r="X1" s="3382"/>
      <c r="Y1" s="3382"/>
      <c r="Z1" s="3383"/>
      <c r="AA1" s="1451"/>
      <c r="AB1" s="1451"/>
      <c r="AC1" s="1451"/>
      <c r="AD1" s="1451"/>
      <c r="AE1" s="1451"/>
      <c r="AF1" s="1451"/>
      <c r="AG1" s="1451"/>
      <c r="AH1" s="1451"/>
    </row>
    <row r="2" spans="1:65" s="1452" customFormat="1" ht="15" customHeight="1">
      <c r="A2" s="3379"/>
      <c r="B2" s="2499"/>
      <c r="C2" s="2499"/>
      <c r="D2" s="2500"/>
      <c r="E2" s="3384"/>
      <c r="F2" s="3385"/>
      <c r="G2" s="3385"/>
      <c r="H2" s="3385"/>
      <c r="I2" s="3385"/>
      <c r="J2" s="3385"/>
      <c r="K2" s="3385"/>
      <c r="L2" s="3385"/>
      <c r="M2" s="3385"/>
      <c r="N2" s="3385"/>
      <c r="O2" s="3385"/>
      <c r="P2" s="3385"/>
      <c r="Q2" s="3385"/>
      <c r="R2" s="3385"/>
      <c r="S2" s="3385"/>
      <c r="T2" s="3385"/>
      <c r="U2" s="3385"/>
      <c r="V2" s="3385"/>
      <c r="W2" s="3385"/>
      <c r="X2" s="3385"/>
      <c r="Y2" s="3385"/>
      <c r="Z2" s="3386"/>
      <c r="AA2" s="1451"/>
      <c r="AB2" s="1451"/>
      <c r="AC2" s="1451"/>
      <c r="AD2" s="1451"/>
      <c r="AE2" s="1451"/>
      <c r="AF2" s="1451"/>
      <c r="AG2" s="1451"/>
      <c r="AH2" s="1451"/>
      <c r="AT2" s="1453">
        <f>+IF(AA7="","",IF(OR(AA7=AH7,AH14),AT7,IF(OR(AA7=AH15,AA7=AH16,AA7=AH9,AA7=AH10),AU7,IF(AA7=AH8,AV7,IF(AA7=AH11,AW7,IF(AA7=AH12,AX7,IF(AA7=AH17,AY7,"")))))))</f>
        <v>2</v>
      </c>
    </row>
    <row r="3" spans="1:65" s="1452" customFormat="1" ht="15" customHeight="1">
      <c r="A3" s="3379"/>
      <c r="B3" s="2499"/>
      <c r="C3" s="2499"/>
      <c r="D3" s="2500"/>
      <c r="E3" s="3384"/>
      <c r="F3" s="3385"/>
      <c r="G3" s="3385"/>
      <c r="H3" s="3385"/>
      <c r="I3" s="3385"/>
      <c r="J3" s="3385"/>
      <c r="K3" s="3385"/>
      <c r="L3" s="3385"/>
      <c r="M3" s="3385"/>
      <c r="N3" s="3385"/>
      <c r="O3" s="3385"/>
      <c r="P3" s="3385"/>
      <c r="Q3" s="3385"/>
      <c r="R3" s="3385"/>
      <c r="S3" s="3385"/>
      <c r="T3" s="3385"/>
      <c r="U3" s="3385"/>
      <c r="V3" s="3385"/>
      <c r="W3" s="3385"/>
      <c r="X3" s="3385"/>
      <c r="Y3" s="3385"/>
      <c r="Z3" s="3386"/>
      <c r="AA3" s="1451"/>
      <c r="AB3" s="1451"/>
      <c r="AC3" s="1451"/>
      <c r="AD3" s="1451"/>
      <c r="AE3" s="1451"/>
      <c r="AF3" s="1451"/>
      <c r="AG3" s="1451"/>
      <c r="AH3" s="1451"/>
      <c r="AT3" s="3387" t="str">
        <f>CONCATENATE(AI7, " y ",AP7)</f>
        <v>Densidades y Materiales granulares</v>
      </c>
      <c r="AU3" s="3389" t="str">
        <f>CONCATENATE(AQ7," , ",AL7, " , ",AR7," y ",AK7)</f>
        <v>Mezcla asfaltica , Diseños , Concreto hidráulico y Núcleos</v>
      </c>
      <c r="AV3" s="3369" t="str">
        <f>+AJ7</f>
        <v>Apiques</v>
      </c>
      <c r="AW3" s="3369" t="str">
        <f>+AM7</f>
        <v>Cemento asfaltico</v>
      </c>
      <c r="AX3" s="3369" t="str">
        <f>+AN7</f>
        <v>Emulsión asfaltica</v>
      </c>
      <c r="AY3" s="3369" t="str">
        <f>+AS7</f>
        <v>Otros</v>
      </c>
      <c r="AZ3" s="3371" t="str">
        <f>+AH13</f>
        <v>Materiales pétreos</v>
      </c>
    </row>
    <row r="4" spans="1:65" s="1452" customFormat="1" ht="15" customHeight="1">
      <c r="A4" s="3379"/>
      <c r="B4" s="2499"/>
      <c r="C4" s="2499"/>
      <c r="D4" s="2500"/>
      <c r="E4" s="3373" t="s">
        <v>854</v>
      </c>
      <c r="F4" s="3373"/>
      <c r="G4" s="3373"/>
      <c r="H4" s="3373"/>
      <c r="I4" s="3373"/>
      <c r="J4" s="3373"/>
      <c r="K4" s="3373"/>
      <c r="L4" s="3373"/>
      <c r="M4" s="3373"/>
      <c r="N4" s="3373"/>
      <c r="O4" s="3373"/>
      <c r="P4" s="3373"/>
      <c r="Q4" s="3373"/>
      <c r="R4" s="3373"/>
      <c r="S4" s="3373"/>
      <c r="T4" s="3373"/>
      <c r="U4" s="3373" t="s">
        <v>578</v>
      </c>
      <c r="V4" s="3373"/>
      <c r="W4" s="3373"/>
      <c r="X4" s="3373"/>
      <c r="Y4" s="3373"/>
      <c r="Z4" s="3373"/>
      <c r="AA4" s="1454"/>
      <c r="AB4" s="1454"/>
      <c r="AC4" s="1454"/>
      <c r="AD4" s="1454"/>
      <c r="AE4" s="1454"/>
      <c r="AF4" s="1454"/>
      <c r="AG4" s="1454"/>
      <c r="AH4" s="1454"/>
      <c r="AT4" s="3388"/>
      <c r="AU4" s="3390"/>
      <c r="AV4" s="3370"/>
      <c r="AW4" s="3370"/>
      <c r="AX4" s="3370"/>
      <c r="AY4" s="3370"/>
      <c r="AZ4" s="3372"/>
    </row>
    <row r="5" spans="1:65" s="1452" customFormat="1" ht="15" customHeight="1">
      <c r="A5" s="3380"/>
      <c r="B5" s="2501"/>
      <c r="C5" s="2501"/>
      <c r="D5" s="2502"/>
      <c r="E5" s="3373" t="s">
        <v>855</v>
      </c>
      <c r="F5" s="3373"/>
      <c r="G5" s="3373"/>
      <c r="H5" s="3373"/>
      <c r="I5" s="3373"/>
      <c r="J5" s="3373"/>
      <c r="K5" s="3373"/>
      <c r="L5" s="3373"/>
      <c r="M5" s="3373"/>
      <c r="N5" s="3373"/>
      <c r="O5" s="3373"/>
      <c r="P5" s="3373"/>
      <c r="Q5" s="3373"/>
      <c r="R5" s="3373"/>
      <c r="S5" s="3373"/>
      <c r="T5" s="3373"/>
      <c r="U5" s="3373"/>
      <c r="V5" s="3373"/>
      <c r="W5" s="3373"/>
      <c r="X5" s="3373"/>
      <c r="Y5" s="3373"/>
      <c r="Z5" s="3373"/>
      <c r="AA5" s="1455" t="s">
        <v>856</v>
      </c>
      <c r="AB5" s="1454"/>
      <c r="AC5" s="1454"/>
      <c r="AD5" s="1454"/>
      <c r="AE5" s="1454"/>
      <c r="AF5" s="1454"/>
      <c r="AG5" s="1454"/>
      <c r="AH5" s="1454"/>
      <c r="AT5" s="3388"/>
      <c r="AU5" s="3390"/>
      <c r="AV5" s="3370"/>
      <c r="AW5" s="3370"/>
      <c r="AX5" s="3370"/>
      <c r="AY5" s="3370"/>
      <c r="AZ5" s="3372"/>
    </row>
    <row r="6" spans="1:65" s="1465" customFormat="1" ht="15" customHeight="1">
      <c r="A6" s="1456"/>
      <c r="B6" s="1457"/>
      <c r="C6" s="1457"/>
      <c r="D6" s="1457"/>
      <c r="E6" s="1457"/>
      <c r="F6" s="1458"/>
      <c r="G6" s="1458"/>
      <c r="H6" s="1458"/>
      <c r="I6" s="1458"/>
      <c r="J6" s="1458"/>
      <c r="K6" s="1458"/>
      <c r="L6" s="1458"/>
      <c r="M6" s="1458"/>
      <c r="N6" s="1458"/>
      <c r="O6" s="1458"/>
      <c r="P6" s="1458"/>
      <c r="Q6" s="1458"/>
      <c r="R6" s="1458"/>
      <c r="S6" s="1458"/>
      <c r="T6" s="1457"/>
      <c r="U6" s="1457"/>
      <c r="V6" s="1457"/>
      <c r="W6" s="1457"/>
      <c r="X6" s="1457"/>
      <c r="Y6" s="1457"/>
      <c r="Z6" s="1459"/>
      <c r="AA6" s="1460" t="str">
        <f>+AH6</f>
        <v>Servicios</v>
      </c>
      <c r="AB6" s="1460" t="s">
        <v>848</v>
      </c>
      <c r="AC6" s="1461" t="str">
        <f>+B25</f>
        <v>Cliente:</v>
      </c>
      <c r="AD6" s="3352" t="str">
        <f>+A39</f>
        <v>Revisó</v>
      </c>
      <c r="AE6" s="3353"/>
      <c r="AF6" s="3354"/>
      <c r="AG6" s="1462"/>
      <c r="AH6" s="1463" t="s">
        <v>857</v>
      </c>
      <c r="AI6" s="3374" t="str">
        <f>+B11</f>
        <v>Material ensayado:</v>
      </c>
      <c r="AJ6" s="3375"/>
      <c r="AK6" s="3375"/>
      <c r="AL6" s="3375"/>
      <c r="AM6" s="3375"/>
      <c r="AN6" s="3375"/>
      <c r="AO6" s="3375"/>
      <c r="AP6" s="3375"/>
      <c r="AQ6" s="3375"/>
      <c r="AR6" s="3375"/>
      <c r="AS6" s="3375"/>
      <c r="AT6" s="3388"/>
      <c r="AU6" s="3390"/>
      <c r="AV6" s="3370"/>
      <c r="AW6" s="3370"/>
      <c r="AX6" s="3370"/>
      <c r="AY6" s="3370"/>
      <c r="AZ6" s="3372"/>
      <c r="BA6" s="1464"/>
      <c r="BB6" s="3361" t="str">
        <f>+B14</f>
        <v>Fuente:</v>
      </c>
      <c r="BC6" s="3362"/>
      <c r="BD6" s="3362"/>
      <c r="BE6" s="3362"/>
      <c r="BF6" s="3362"/>
      <c r="BG6" s="3362"/>
      <c r="BH6" s="3362"/>
      <c r="BI6" s="3362"/>
      <c r="BJ6" s="3362"/>
      <c r="BK6" s="3362"/>
      <c r="BL6" s="3362"/>
      <c r="BM6" s="3363"/>
    </row>
    <row r="7" spans="1:65" s="1465" customFormat="1" ht="15" customHeight="1">
      <c r="A7" s="1466"/>
      <c r="B7" s="1467"/>
      <c r="C7" s="1467"/>
      <c r="D7" s="1467"/>
      <c r="E7" s="1467"/>
      <c r="F7" s="1468"/>
      <c r="G7" s="1468"/>
      <c r="H7" s="1468"/>
      <c r="I7" s="1468"/>
      <c r="J7" s="1468"/>
      <c r="K7" s="1468"/>
      <c r="L7" s="1468"/>
      <c r="M7" s="1468"/>
      <c r="N7" s="1468"/>
      <c r="O7" s="1468"/>
      <c r="P7" s="1468"/>
      <c r="Q7" s="1469" t="s">
        <v>19</v>
      </c>
      <c r="R7" s="1470"/>
      <c r="S7" s="1471"/>
      <c r="T7" s="3364"/>
      <c r="U7" s="3364"/>
      <c r="V7" s="3364"/>
      <c r="W7" s="3364"/>
      <c r="X7" s="3364"/>
      <c r="Y7" s="3364"/>
      <c r="Z7" s="1472"/>
      <c r="AA7" s="1473" t="s">
        <v>858</v>
      </c>
      <c r="AB7" s="1474" t="s">
        <v>849</v>
      </c>
      <c r="AC7" s="1475" t="s">
        <v>859</v>
      </c>
      <c r="AD7" s="1476" t="s">
        <v>860</v>
      </c>
      <c r="AE7" s="1477" t="s">
        <v>861</v>
      </c>
      <c r="AF7" s="1478" t="s">
        <v>862</v>
      </c>
      <c r="AG7" s="1479">
        <v>1</v>
      </c>
      <c r="AH7" s="1479" t="s">
        <v>863</v>
      </c>
      <c r="AI7" s="1480" t="str">
        <f>+AH7</f>
        <v>Densidades</v>
      </c>
      <c r="AJ7" s="1481" t="str">
        <f>+AH8</f>
        <v>Apiques</v>
      </c>
      <c r="AK7" s="1481" t="str">
        <f>+AH9</f>
        <v>Núcleos</v>
      </c>
      <c r="AL7" s="1481" t="str">
        <f>+AH10</f>
        <v>Diseños</v>
      </c>
      <c r="AM7" s="1481" t="str">
        <f>+AH11</f>
        <v>Cemento asfaltico</v>
      </c>
      <c r="AN7" s="1481" t="str">
        <f>+AH12</f>
        <v>Emulsión asfaltica</v>
      </c>
      <c r="AO7" s="1481" t="str">
        <f>+AH13</f>
        <v>Materiales pétreos</v>
      </c>
      <c r="AP7" s="1481" t="str">
        <f>+AH14</f>
        <v>Materiales granulares</v>
      </c>
      <c r="AQ7" s="1481" t="str">
        <f>+AH15</f>
        <v>Mezcla asfaltica</v>
      </c>
      <c r="AR7" s="1481" t="str">
        <f>+AH16</f>
        <v>Concreto hidráulico</v>
      </c>
      <c r="AS7" s="1481" t="str">
        <f>+AH17</f>
        <v>Otros</v>
      </c>
      <c r="AT7" s="1482">
        <v>1</v>
      </c>
      <c r="AU7" s="1481">
        <v>2</v>
      </c>
      <c r="AV7" s="1481">
        <v>3</v>
      </c>
      <c r="AW7" s="1481">
        <v>4</v>
      </c>
      <c r="AX7" s="1481">
        <v>5</v>
      </c>
      <c r="AY7" s="1481">
        <v>6</v>
      </c>
      <c r="AZ7" s="1483">
        <v>7</v>
      </c>
      <c r="BB7" s="1484"/>
      <c r="BC7" s="1485" t="str">
        <f>+AH7</f>
        <v>Densidades</v>
      </c>
      <c r="BD7" s="1485" t="str">
        <f>+AH8</f>
        <v>Apiques</v>
      </c>
      <c r="BE7" s="1485" t="str">
        <f>+AH9</f>
        <v>Núcleos</v>
      </c>
      <c r="BF7" s="1485" t="str">
        <f>+AH10</f>
        <v>Diseños</v>
      </c>
      <c r="BG7" s="1485" t="str">
        <f>+AH11</f>
        <v>Cemento asfaltico</v>
      </c>
      <c r="BH7" s="1485" t="str">
        <f>+AH12</f>
        <v>Emulsión asfaltica</v>
      </c>
      <c r="BI7" s="1485" t="str">
        <f>+AH13</f>
        <v>Materiales pétreos</v>
      </c>
      <c r="BJ7" s="1485" t="str">
        <f>+AH14</f>
        <v>Materiales granulares</v>
      </c>
      <c r="BK7" s="1485" t="str">
        <f>+AH15</f>
        <v>Mezcla asfaltica</v>
      </c>
      <c r="BL7" s="1485" t="str">
        <f>+AH16</f>
        <v>Concreto hidráulico</v>
      </c>
      <c r="BM7" s="1486" t="str">
        <f>+AH17</f>
        <v>Otros</v>
      </c>
    </row>
    <row r="8" spans="1:65" s="1465" customFormat="1" ht="15" customHeight="1">
      <c r="A8" s="1466"/>
      <c r="B8" s="1467"/>
      <c r="C8" s="1467"/>
      <c r="D8" s="1467"/>
      <c r="E8" s="1467"/>
      <c r="F8" s="1468"/>
      <c r="G8" s="1468"/>
      <c r="H8" s="1468"/>
      <c r="I8" s="1468"/>
      <c r="J8" s="1468"/>
      <c r="K8" s="1468"/>
      <c r="L8" s="1468"/>
      <c r="M8" s="1468"/>
      <c r="N8" s="1468"/>
      <c r="O8" s="1468"/>
      <c r="P8" s="1468"/>
      <c r="Q8" s="1468"/>
      <c r="R8" s="1468"/>
      <c r="S8" s="1468"/>
      <c r="T8" s="1467"/>
      <c r="U8" s="1468"/>
      <c r="V8" s="3365" t="str">
        <f>IF(T7="",AB11,CONCATENATE(AB7," ",AB8," ",AB9," ", AB10))</f>
        <v>Pagina xx de xx</v>
      </c>
      <c r="W8" s="3365"/>
      <c r="X8" s="3365"/>
      <c r="Y8" s="3365"/>
      <c r="Z8" s="1472"/>
      <c r="AA8" s="1479"/>
      <c r="AB8" s="1487" t="str">
        <f>IF(T7="","",1)</f>
        <v/>
      </c>
      <c r="AC8" s="1475" t="s">
        <v>864</v>
      </c>
      <c r="AD8" s="2850" t="s">
        <v>865</v>
      </c>
      <c r="AE8" s="2851" t="s">
        <v>315</v>
      </c>
      <c r="AF8" s="3346"/>
      <c r="AG8" s="1469">
        <v>2</v>
      </c>
      <c r="AH8" s="1469" t="s">
        <v>866</v>
      </c>
      <c r="AI8" s="1488" t="s">
        <v>867</v>
      </c>
      <c r="AJ8" s="1489" t="s">
        <v>868</v>
      </c>
      <c r="AK8" s="1489" t="s">
        <v>869</v>
      </c>
      <c r="AL8" s="1489" t="str">
        <f t="shared" ref="AL8:AL13" si="0">+AQ8</f>
        <v>MD-10</v>
      </c>
      <c r="AM8" s="1489" t="s">
        <v>870</v>
      </c>
      <c r="AN8" s="1489" t="s">
        <v>871</v>
      </c>
      <c r="AO8" s="1489" t="s">
        <v>872</v>
      </c>
      <c r="AP8" s="1489" t="s">
        <v>873</v>
      </c>
      <c r="AQ8" s="1489" t="s">
        <v>869</v>
      </c>
      <c r="AR8" s="1489" t="s">
        <v>874</v>
      </c>
      <c r="AS8" s="1489" t="str">
        <f>+AI8:AI17</f>
        <v>Base granular tipo A</v>
      </c>
      <c r="AT8" s="1488" t="str">
        <f>+AP8</f>
        <v>Base granular Tipo A</v>
      </c>
      <c r="AU8" s="1489" t="str">
        <f>+AL8</f>
        <v>MD-10</v>
      </c>
      <c r="AV8" s="1489" t="str">
        <f>+AJ8</f>
        <v>Ver perfil estratigráfico del suelo INV E-101 y 102-13</v>
      </c>
      <c r="AW8" s="1489" t="str">
        <f t="shared" ref="AW8:AX10" si="1">+AM8</f>
        <v>Cemento asfaltico CA-14</v>
      </c>
      <c r="AX8" s="1489" t="str">
        <f t="shared" si="1"/>
        <v>Emulsión asfaltica CRL-1 (60-100)</v>
      </c>
      <c r="AY8" s="1489" t="str">
        <f>+AS8</f>
        <v>Base granular tipo A</v>
      </c>
      <c r="AZ8" s="1490" t="str">
        <f>+AO8</f>
        <v>Grava 1"</v>
      </c>
      <c r="BB8" s="894">
        <v>1</v>
      </c>
      <c r="BC8" s="1491" t="s">
        <v>875</v>
      </c>
      <c r="BD8" s="1491" t="s">
        <v>876</v>
      </c>
      <c r="BE8" s="1491" t="s">
        <v>875</v>
      </c>
      <c r="BF8" s="1491"/>
      <c r="BG8" s="1491" t="s">
        <v>18</v>
      </c>
      <c r="BH8" s="1491" t="s">
        <v>18</v>
      </c>
      <c r="BI8" s="1491" t="s">
        <v>18</v>
      </c>
      <c r="BJ8" s="1491" t="s">
        <v>18</v>
      </c>
      <c r="BK8" s="1492" t="s">
        <v>18</v>
      </c>
      <c r="BL8" s="1491" t="s">
        <v>18</v>
      </c>
      <c r="BM8" s="1493"/>
    </row>
    <row r="9" spans="1:65" s="1465" customFormat="1" ht="15" customHeight="1">
      <c r="A9" s="1494"/>
      <c r="B9" s="3366" t="s">
        <v>877</v>
      </c>
      <c r="C9" s="3366"/>
      <c r="D9" s="3366"/>
      <c r="E9" s="3366"/>
      <c r="F9" s="3366"/>
      <c r="G9" s="3366"/>
      <c r="H9" s="3366"/>
      <c r="I9" s="3366"/>
      <c r="J9" s="3366"/>
      <c r="K9" s="3366"/>
      <c r="L9" s="3366"/>
      <c r="M9" s="3366"/>
      <c r="N9" s="3366"/>
      <c r="O9" s="3366"/>
      <c r="P9" s="3366"/>
      <c r="Q9" s="3366"/>
      <c r="R9" s="3366"/>
      <c r="S9" s="3366"/>
      <c r="T9" s="3366"/>
      <c r="U9" s="3366"/>
      <c r="V9" s="3366"/>
      <c r="W9" s="3366"/>
      <c r="X9" s="3366"/>
      <c r="Y9" s="3366"/>
      <c r="Z9" s="1495"/>
      <c r="AA9" s="1469"/>
      <c r="AB9" s="1496" t="s">
        <v>850</v>
      </c>
      <c r="AC9" s="1475" t="s">
        <v>878</v>
      </c>
      <c r="AD9" s="2850"/>
      <c r="AE9" s="2851"/>
      <c r="AF9" s="3346"/>
      <c r="AG9" s="1497">
        <v>3</v>
      </c>
      <c r="AH9" s="1469" t="s">
        <v>879</v>
      </c>
      <c r="AI9" s="1488" t="s">
        <v>880</v>
      </c>
      <c r="AJ9" s="1489"/>
      <c r="AK9" s="1489" t="s">
        <v>881</v>
      </c>
      <c r="AL9" s="1489" t="str">
        <f t="shared" si="0"/>
        <v>MD-12</v>
      </c>
      <c r="AM9" s="1489" t="s">
        <v>882</v>
      </c>
      <c r="AN9" s="1489" t="s">
        <v>883</v>
      </c>
      <c r="AO9" s="1489" t="s">
        <v>884</v>
      </c>
      <c r="AP9" s="1489" t="s">
        <v>885</v>
      </c>
      <c r="AQ9" s="1489" t="s">
        <v>881</v>
      </c>
      <c r="AR9" s="1489" t="s">
        <v>886</v>
      </c>
      <c r="AS9" s="1489" t="str">
        <f t="shared" ref="AS9:AS17" si="2">+AI9:AI18</f>
        <v>Base granular tipo B</v>
      </c>
      <c r="AT9" s="1488" t="str">
        <f t="shared" ref="AT9:AT17" si="3">+AP9</f>
        <v>Base granular Tipo B</v>
      </c>
      <c r="AU9" s="1489" t="str">
        <f t="shared" ref="AU9:AU16" si="4">+AL9</f>
        <v>MD-12</v>
      </c>
      <c r="AV9" s="1489"/>
      <c r="AW9" s="1489" t="str">
        <f t="shared" si="1"/>
        <v>Cemento asfaltico modificado con GCR</v>
      </c>
      <c r="AX9" s="1489" t="str">
        <f t="shared" si="1"/>
        <v>Emulsión asfaltica CRL-1 (100-250)</v>
      </c>
      <c r="AY9" s="1489" t="str">
        <f t="shared" ref="AY9:AY49" si="5">+AS9</f>
        <v>Base granular tipo B</v>
      </c>
      <c r="AZ9" s="1490" t="str">
        <f t="shared" ref="AZ9:AZ17" si="6">+AO9</f>
        <v>Grava ¾"</v>
      </c>
      <c r="BB9" s="894">
        <v>2</v>
      </c>
      <c r="BC9" s="1491" t="s">
        <v>876</v>
      </c>
      <c r="BD9" s="1491" t="s">
        <v>887</v>
      </c>
      <c r="BE9" s="1491" t="s">
        <v>887</v>
      </c>
      <c r="BF9" s="1491"/>
      <c r="BG9" s="1491" t="s">
        <v>888</v>
      </c>
      <c r="BH9" s="1491" t="s">
        <v>888</v>
      </c>
      <c r="BI9" s="1491" t="s">
        <v>889</v>
      </c>
      <c r="BJ9" s="1498" t="s">
        <v>465</v>
      </c>
      <c r="BK9" s="1492" t="s">
        <v>890</v>
      </c>
      <c r="BL9" s="1492" t="s">
        <v>875</v>
      </c>
      <c r="BM9" s="1493"/>
    </row>
    <row r="10" spans="1:65" s="1465" customFormat="1" ht="15" customHeight="1">
      <c r="A10" s="1499"/>
      <c r="B10" s="1500"/>
      <c r="C10" s="1500"/>
      <c r="D10" s="1500"/>
      <c r="E10" s="1500"/>
      <c r="F10" s="1500"/>
      <c r="G10" s="3367"/>
      <c r="H10" s="3367"/>
      <c r="I10" s="3367"/>
      <c r="J10" s="3367"/>
      <c r="K10" s="3367"/>
      <c r="L10" s="3367"/>
      <c r="M10" s="3367"/>
      <c r="N10" s="3367"/>
      <c r="O10" s="3367"/>
      <c r="P10" s="3367"/>
      <c r="Q10" s="3367"/>
      <c r="R10" s="3367"/>
      <c r="S10" s="3367"/>
      <c r="T10" s="3367"/>
      <c r="U10" s="3367"/>
      <c r="V10" s="3367"/>
      <c r="W10" s="3367"/>
      <c r="X10" s="3367"/>
      <c r="Y10" s="3367"/>
      <c r="Z10" s="3368"/>
      <c r="AA10" s="1501"/>
      <c r="AB10" s="1502">
        <v>2</v>
      </c>
      <c r="AC10" s="1503" t="s">
        <v>891</v>
      </c>
      <c r="AD10" s="2850"/>
      <c r="AE10" s="2851"/>
      <c r="AF10" s="3346"/>
      <c r="AG10" s="1479">
        <v>4</v>
      </c>
      <c r="AH10" s="1497" t="s">
        <v>892</v>
      </c>
      <c r="AI10" s="1488" t="s">
        <v>893</v>
      </c>
      <c r="AJ10" s="1489"/>
      <c r="AK10" s="1489" t="s">
        <v>894</v>
      </c>
      <c r="AL10" s="1489" t="str">
        <f t="shared" si="0"/>
        <v>MGCR Tipo 1</v>
      </c>
      <c r="AM10" s="1489" t="s">
        <v>895</v>
      </c>
      <c r="AN10" s="1489" t="s">
        <v>896</v>
      </c>
      <c r="AO10" s="1489" t="s">
        <v>897</v>
      </c>
      <c r="AP10" s="1489" t="s">
        <v>898</v>
      </c>
      <c r="AQ10" s="1489" t="s">
        <v>899</v>
      </c>
      <c r="AR10" s="1489" t="s">
        <v>900</v>
      </c>
      <c r="AS10" s="1489" t="str">
        <f t="shared" si="2"/>
        <v>Base granular tipo C</v>
      </c>
      <c r="AT10" s="1488" t="str">
        <f t="shared" si="3"/>
        <v>Base granular Tipo C</v>
      </c>
      <c r="AU10" s="1489" t="str">
        <f t="shared" si="4"/>
        <v>MGCR Tipo 1</v>
      </c>
      <c r="AV10" s="1489"/>
      <c r="AW10" s="1489" t="str">
        <f t="shared" si="1"/>
        <v>Asfalto modificado para sello de fisuras</v>
      </c>
      <c r="AX10" s="1489" t="str">
        <f t="shared" si="1"/>
        <v>Emulsión asfaltica CRR-1</v>
      </c>
      <c r="AY10" s="1489" t="str">
        <f t="shared" si="5"/>
        <v>Base granular tipo C</v>
      </c>
      <c r="AZ10" s="1490" t="str">
        <f t="shared" si="6"/>
        <v>Grava ½"</v>
      </c>
      <c r="BB10" s="894">
        <v>3</v>
      </c>
      <c r="BC10" s="1491" t="s">
        <v>887</v>
      </c>
      <c r="BD10" s="1498" t="s">
        <v>617</v>
      </c>
      <c r="BE10" s="1498" t="s">
        <v>465</v>
      </c>
      <c r="BF10" s="1498"/>
      <c r="BG10" s="1491" t="s">
        <v>901</v>
      </c>
      <c r="BH10" s="1491" t="s">
        <v>901</v>
      </c>
      <c r="BI10" s="1498" t="str">
        <f>""</f>
        <v/>
      </c>
      <c r="BJ10" s="1498" t="str">
        <f>""</f>
        <v/>
      </c>
      <c r="BK10" s="1492" t="s">
        <v>902</v>
      </c>
      <c r="BL10" s="1491" t="s">
        <v>887</v>
      </c>
      <c r="BM10" s="1493"/>
    </row>
    <row r="11" spans="1:65" s="1465" customFormat="1" ht="15" customHeight="1">
      <c r="A11" s="1499"/>
      <c r="B11" s="3357" t="s">
        <v>903</v>
      </c>
      <c r="C11" s="3357"/>
      <c r="D11" s="3357"/>
      <c r="E11" s="3357"/>
      <c r="F11" s="3357"/>
      <c r="G11" s="3357"/>
      <c r="H11" s="3357"/>
      <c r="I11" s="3345"/>
      <c r="J11" s="3345"/>
      <c r="K11" s="3345"/>
      <c r="L11" s="3345"/>
      <c r="M11" s="3345"/>
      <c r="N11" s="3345"/>
      <c r="O11" s="3345"/>
      <c r="P11" s="3345"/>
      <c r="Q11" s="3345"/>
      <c r="R11" s="3345"/>
      <c r="S11" s="3345"/>
      <c r="T11" s="3345"/>
      <c r="U11" s="3345"/>
      <c r="V11" s="3345"/>
      <c r="W11" s="3345"/>
      <c r="X11" s="3345"/>
      <c r="Y11" s="3345"/>
      <c r="Z11" s="1495"/>
      <c r="AA11" s="1497"/>
      <c r="AB11" s="1504" t="s">
        <v>851</v>
      </c>
      <c r="AC11" s="1505"/>
      <c r="AD11" s="2850" t="s">
        <v>960</v>
      </c>
      <c r="AE11" s="2851" t="s">
        <v>961</v>
      </c>
      <c r="AF11" s="3346"/>
      <c r="AG11" s="1469">
        <v>5</v>
      </c>
      <c r="AH11" s="1497" t="s">
        <v>906</v>
      </c>
      <c r="AI11" s="1488" t="s">
        <v>907</v>
      </c>
      <c r="AJ11" s="1489"/>
      <c r="AK11" s="1489" t="s">
        <v>908</v>
      </c>
      <c r="AL11" s="1489" t="str">
        <f t="shared" si="0"/>
        <v>Pavimento asfaltico reciclado MBR</v>
      </c>
      <c r="AM11" s="1489"/>
      <c r="AN11" s="1489"/>
      <c r="AO11" s="1489" t="s">
        <v>909</v>
      </c>
      <c r="AP11" s="1489" t="s">
        <v>910</v>
      </c>
      <c r="AQ11" s="1489" t="s">
        <v>911</v>
      </c>
      <c r="AR11" s="1506"/>
      <c r="AS11" s="1489" t="str">
        <f t="shared" si="2"/>
        <v>Sub-base granular  tipo A</v>
      </c>
      <c r="AT11" s="1488" t="str">
        <f t="shared" si="3"/>
        <v xml:space="preserve">Sub-base granular Tipo A </v>
      </c>
      <c r="AU11" s="1489" t="str">
        <f t="shared" si="4"/>
        <v>Pavimento asfaltico reciclado MBR</v>
      </c>
      <c r="AV11" s="1489"/>
      <c r="AW11" s="1489"/>
      <c r="AX11" s="1489"/>
      <c r="AY11" s="1489" t="str">
        <f t="shared" si="5"/>
        <v>Sub-base granular  tipo A</v>
      </c>
      <c r="AZ11" s="1490" t="str">
        <f t="shared" si="6"/>
        <v>Arena triturada de rio</v>
      </c>
      <c r="BB11" s="894">
        <v>4</v>
      </c>
      <c r="BC11" s="1498" t="str">
        <f>""</f>
        <v/>
      </c>
      <c r="BD11" s="1498" t="s">
        <v>465</v>
      </c>
      <c r="BE11" s="1498" t="str">
        <f>""</f>
        <v/>
      </c>
      <c r="BF11" s="1498"/>
      <c r="BG11" s="1498" t="s">
        <v>889</v>
      </c>
      <c r="BH11" s="1498" t="s">
        <v>889</v>
      </c>
      <c r="BI11" s="1498" t="s">
        <v>912</v>
      </c>
      <c r="BJ11" s="1498" t="s">
        <v>912</v>
      </c>
      <c r="BK11" s="1498" t="str">
        <f>""</f>
        <v/>
      </c>
      <c r="BL11" s="1492" t="s">
        <v>913</v>
      </c>
      <c r="BM11" s="1493"/>
    </row>
    <row r="12" spans="1:65" s="1465" customFormat="1" ht="15" customHeight="1">
      <c r="A12" s="1499"/>
      <c r="B12" s="3358" t="s">
        <v>6</v>
      </c>
      <c r="C12" s="3358"/>
      <c r="D12" s="3358"/>
      <c r="E12" s="3358"/>
      <c r="F12" s="3358"/>
      <c r="G12" s="3358"/>
      <c r="H12" s="3358"/>
      <c r="I12" s="3359" t="str">
        <f>+IF(I11="","",CONCATENATE(AB14," ",I11))</f>
        <v/>
      </c>
      <c r="J12" s="3359"/>
      <c r="K12" s="3359"/>
      <c r="L12" s="3359"/>
      <c r="M12" s="3359"/>
      <c r="N12" s="3359"/>
      <c r="O12" s="3359"/>
      <c r="P12" s="3359"/>
      <c r="Q12" s="3359"/>
      <c r="R12" s="3359"/>
      <c r="S12" s="3359"/>
      <c r="T12" s="3359"/>
      <c r="U12" s="3359"/>
      <c r="V12" s="3359"/>
      <c r="W12" s="3359"/>
      <c r="X12" s="3359"/>
      <c r="Y12" s="3359"/>
      <c r="Z12" s="1495"/>
      <c r="AB12" s="1497"/>
      <c r="AD12" s="2850"/>
      <c r="AE12" s="2851"/>
      <c r="AF12" s="3346"/>
      <c r="AG12" s="1497">
        <v>6</v>
      </c>
      <c r="AH12" s="1296" t="s">
        <v>914</v>
      </c>
      <c r="AI12" s="1488" t="s">
        <v>915</v>
      </c>
      <c r="AJ12" s="1489"/>
      <c r="AK12" s="1489" t="s">
        <v>916</v>
      </c>
      <c r="AL12" s="1489" t="str">
        <f t="shared" si="0"/>
        <v>Fresado</v>
      </c>
      <c r="AM12" s="1489"/>
      <c r="AN12" s="1489"/>
      <c r="AO12" s="1489" t="s">
        <v>917</v>
      </c>
      <c r="AP12" s="1489" t="s">
        <v>918</v>
      </c>
      <c r="AQ12" s="1489" t="s">
        <v>919</v>
      </c>
      <c r="AR12" s="1489"/>
      <c r="AS12" s="1489" t="str">
        <f t="shared" si="2"/>
        <v>Sub-base granular  tipo B</v>
      </c>
      <c r="AT12" s="1488" t="str">
        <f t="shared" si="3"/>
        <v>Sub-base granular Tipo B</v>
      </c>
      <c r="AU12" s="1489" t="str">
        <f t="shared" si="4"/>
        <v>Fresado</v>
      </c>
      <c r="AV12" s="1489"/>
      <c r="AW12" s="1489"/>
      <c r="AX12" s="1489"/>
      <c r="AY12" s="1489" t="str">
        <f t="shared" si="5"/>
        <v>Sub-base granular  tipo B</v>
      </c>
      <c r="AZ12" s="1490" t="str">
        <f t="shared" si="6"/>
        <v>Arena triturada de cantera</v>
      </c>
      <c r="BB12" s="894">
        <v>5</v>
      </c>
      <c r="BC12" s="1498" t="s">
        <v>920</v>
      </c>
      <c r="BD12" s="1507" t="s">
        <v>921</v>
      </c>
      <c r="BE12" s="1498" t="str">
        <f>""</f>
        <v/>
      </c>
      <c r="BF12" s="1498"/>
      <c r="BG12" s="1498" t="str">
        <f>""</f>
        <v/>
      </c>
      <c r="BH12" s="1498" t="str">
        <f>""</f>
        <v/>
      </c>
      <c r="BI12" s="1498" t="str">
        <f>""</f>
        <v/>
      </c>
      <c r="BJ12" s="1498" t="str">
        <f>""</f>
        <v/>
      </c>
      <c r="BK12" s="1498" t="str">
        <f>""</f>
        <v/>
      </c>
      <c r="BL12" s="1498" t="str">
        <f>""</f>
        <v/>
      </c>
      <c r="BM12" s="1493"/>
    </row>
    <row r="13" spans="1:65" s="1512" customFormat="1" ht="15" customHeight="1">
      <c r="A13" s="1508"/>
      <c r="B13" s="1509"/>
      <c r="C13" s="1509"/>
      <c r="D13" s="1509"/>
      <c r="E13" s="1509"/>
      <c r="F13" s="1509"/>
      <c r="G13" s="1509"/>
      <c r="H13" s="1509"/>
      <c r="I13" s="3359"/>
      <c r="J13" s="3359"/>
      <c r="K13" s="3359"/>
      <c r="L13" s="3359"/>
      <c r="M13" s="3359"/>
      <c r="N13" s="3359"/>
      <c r="O13" s="3359"/>
      <c r="P13" s="3359"/>
      <c r="Q13" s="3359"/>
      <c r="R13" s="3359"/>
      <c r="S13" s="3359"/>
      <c r="T13" s="3359"/>
      <c r="U13" s="3359"/>
      <c r="V13" s="3359"/>
      <c r="W13" s="3359"/>
      <c r="X13" s="3359"/>
      <c r="Y13" s="3359"/>
      <c r="Z13" s="1510"/>
      <c r="AA13" s="1296"/>
      <c r="AB13" s="1511" t="s">
        <v>922</v>
      </c>
      <c r="AC13" s="1296"/>
      <c r="AD13" s="2850"/>
      <c r="AE13" s="2851"/>
      <c r="AF13" s="3346"/>
      <c r="AG13" s="1479">
        <v>7</v>
      </c>
      <c r="AH13" s="1296" t="s">
        <v>923</v>
      </c>
      <c r="AI13" s="1488" t="s">
        <v>924</v>
      </c>
      <c r="AJ13" s="1489"/>
      <c r="AK13" s="1489"/>
      <c r="AL13" s="1489" t="str">
        <f t="shared" si="0"/>
        <v>Fresado estabilizado con emulsión y cemento</v>
      </c>
      <c r="AM13" s="1489"/>
      <c r="AN13" s="1489"/>
      <c r="AO13" s="1489" t="s">
        <v>925</v>
      </c>
      <c r="AP13" s="1489" t="s">
        <v>926</v>
      </c>
      <c r="AQ13" s="1489" t="s">
        <v>927</v>
      </c>
      <c r="AR13" s="1489"/>
      <c r="AS13" s="1489" t="str">
        <f t="shared" si="2"/>
        <v>Sub-base granular  tipo C</v>
      </c>
      <c r="AT13" s="1488" t="str">
        <f t="shared" si="3"/>
        <v>Sub-base granular Tipo C</v>
      </c>
      <c r="AU13" s="1489" t="str">
        <f t="shared" si="4"/>
        <v>Fresado estabilizado con emulsión y cemento</v>
      </c>
      <c r="AV13" s="1489"/>
      <c r="AW13" s="1489"/>
      <c r="AX13" s="1489"/>
      <c r="AY13" s="1489" t="str">
        <f t="shared" si="5"/>
        <v>Sub-base granular  tipo C</v>
      </c>
      <c r="AZ13" s="1490" t="str">
        <f t="shared" si="6"/>
        <v>Arena natural</v>
      </c>
      <c r="BB13" s="894">
        <v>6</v>
      </c>
      <c r="BC13" s="1498" t="str">
        <f>""</f>
        <v/>
      </c>
      <c r="BD13" s="1498" t="str">
        <f>""</f>
        <v/>
      </c>
      <c r="BE13" s="1498" t="s">
        <v>928</v>
      </c>
      <c r="BF13" s="1507"/>
      <c r="BG13" s="1498" t="str">
        <f>""</f>
        <v/>
      </c>
      <c r="BH13" s="1498" t="str">
        <f>""</f>
        <v/>
      </c>
      <c r="BI13" s="1498" t="str">
        <f>""</f>
        <v/>
      </c>
      <c r="BJ13" s="1498" t="str">
        <f>""</f>
        <v/>
      </c>
      <c r="BK13" s="1492" t="s">
        <v>929</v>
      </c>
      <c r="BL13" s="1492" t="s">
        <v>929</v>
      </c>
      <c r="BM13" s="1493"/>
    </row>
    <row r="14" spans="1:65" s="615" customFormat="1" ht="15" customHeight="1">
      <c r="A14" s="1513"/>
      <c r="B14" s="3360" t="s">
        <v>930</v>
      </c>
      <c r="C14" s="3360"/>
      <c r="D14" s="3360"/>
      <c r="E14" s="3360"/>
      <c r="F14" s="3360"/>
      <c r="G14" s="3360"/>
      <c r="H14" s="3360"/>
      <c r="I14" s="3360"/>
      <c r="J14" s="3360"/>
      <c r="K14" s="3360"/>
      <c r="L14" s="3360"/>
      <c r="M14" s="3360"/>
      <c r="N14" s="3360"/>
      <c r="O14" s="3360"/>
      <c r="P14" s="3360"/>
      <c r="Q14" s="3360"/>
      <c r="R14" s="3360"/>
      <c r="S14" s="3360"/>
      <c r="T14" s="3360"/>
      <c r="U14" s="3360"/>
      <c r="V14" s="3360"/>
      <c r="W14" s="3360"/>
      <c r="X14" s="3360"/>
      <c r="Y14" s="3360"/>
      <c r="Z14" s="1514"/>
      <c r="AA14" s="1515"/>
      <c r="AB14" s="1516" t="s">
        <v>931</v>
      </c>
      <c r="AC14" s="1517"/>
      <c r="AD14" s="2850" t="s">
        <v>904</v>
      </c>
      <c r="AE14" s="2851" t="s">
        <v>905</v>
      </c>
      <c r="AF14" s="3346"/>
      <c r="AG14" s="1469">
        <v>8</v>
      </c>
      <c r="AH14" s="1296" t="s">
        <v>932</v>
      </c>
      <c r="AI14" s="1488" t="s">
        <v>933</v>
      </c>
      <c r="AJ14" s="1489"/>
      <c r="AK14" s="1489"/>
      <c r="AL14" s="1489" t="str">
        <f>+AR8</f>
        <v>MR-43</v>
      </c>
      <c r="AM14" s="1489"/>
      <c r="AN14" s="1489"/>
      <c r="AO14" s="1518" t="s">
        <v>934</v>
      </c>
      <c r="AP14" s="1489" t="s">
        <v>935</v>
      </c>
      <c r="AQ14" s="1489"/>
      <c r="AR14" s="1489"/>
      <c r="AS14" s="1489" t="str">
        <f t="shared" si="2"/>
        <v>Remanente</v>
      </c>
      <c r="AT14" s="1488" t="str">
        <f t="shared" si="3"/>
        <v>Piedra rajón</v>
      </c>
      <c r="AU14" s="1489" t="str">
        <f t="shared" si="4"/>
        <v>MR-43</v>
      </c>
      <c r="AV14" s="1489"/>
      <c r="AW14" s="1489"/>
      <c r="AX14" s="1489"/>
      <c r="AY14" s="1489" t="str">
        <f t="shared" si="5"/>
        <v>Remanente</v>
      </c>
      <c r="AZ14" s="1490" t="str">
        <f t="shared" si="6"/>
        <v>Arena de peña</v>
      </c>
      <c r="BB14" s="894">
        <v>7</v>
      </c>
      <c r="BC14" s="1498" t="str">
        <f>""</f>
        <v/>
      </c>
      <c r="BD14" s="1507" t="s">
        <v>936</v>
      </c>
      <c r="BE14" s="1498" t="str">
        <f>""</f>
        <v/>
      </c>
      <c r="BF14" s="1507"/>
      <c r="BG14" s="1498" t="str">
        <f>""</f>
        <v/>
      </c>
      <c r="BH14" s="1498" t="str">
        <f>""</f>
        <v/>
      </c>
      <c r="BI14" s="1498" t="str">
        <f>""</f>
        <v/>
      </c>
      <c r="BJ14" s="1498" t="str">
        <f>""</f>
        <v/>
      </c>
      <c r="BK14" s="1492" t="s">
        <v>937</v>
      </c>
      <c r="BL14" s="1492" t="s">
        <v>937</v>
      </c>
      <c r="BM14" s="1493"/>
    </row>
    <row r="15" spans="1:65" s="615" customFormat="1" ht="15" customHeight="1">
      <c r="A15" s="894"/>
      <c r="B15" s="1519"/>
      <c r="C15" s="1519"/>
      <c r="D15" s="1519"/>
      <c r="E15" s="1519"/>
      <c r="F15" s="1519"/>
      <c r="G15" s="1519"/>
      <c r="H15" s="1519"/>
      <c r="I15" s="1520"/>
      <c r="J15" s="1520"/>
      <c r="K15" s="1520"/>
      <c r="L15" s="1520"/>
      <c r="M15" s="1520"/>
      <c r="N15" s="1520"/>
      <c r="O15" s="1520"/>
      <c r="P15" s="1520"/>
      <c r="Q15" s="1520"/>
      <c r="R15" s="1520"/>
      <c r="S15" s="1520"/>
      <c r="T15" s="1520"/>
      <c r="U15" s="1521"/>
      <c r="V15" s="1521"/>
      <c r="W15" s="1521"/>
      <c r="X15" s="1521"/>
      <c r="Y15" s="1521"/>
      <c r="Z15" s="1514"/>
      <c r="AA15" s="1522"/>
      <c r="AB15" s="1523" t="s">
        <v>938</v>
      </c>
      <c r="AC15" s="1522"/>
      <c r="AD15" s="2850"/>
      <c r="AE15" s="2851"/>
      <c r="AF15" s="3346"/>
      <c r="AG15" s="1497">
        <v>9</v>
      </c>
      <c r="AH15" s="1296" t="s">
        <v>939</v>
      </c>
      <c r="AI15" s="1488" t="s">
        <v>919</v>
      </c>
      <c r="AJ15" s="1489"/>
      <c r="AK15" s="1489"/>
      <c r="AL15" s="1489" t="str">
        <f>+AR9</f>
        <v>3000 psi</v>
      </c>
      <c r="AM15" s="1489"/>
      <c r="AN15" s="1489"/>
      <c r="AO15" s="1489" t="s">
        <v>940</v>
      </c>
      <c r="AP15" s="1489" t="s">
        <v>941</v>
      </c>
      <c r="AQ15" s="1489"/>
      <c r="AR15" s="1489"/>
      <c r="AS15" s="1489" t="str">
        <f t="shared" si="2"/>
        <v>Fresado</v>
      </c>
      <c r="AT15" s="1488" t="str">
        <f t="shared" si="3"/>
        <v>Recebo común</v>
      </c>
      <c r="AU15" s="1489" t="str">
        <f t="shared" si="4"/>
        <v>3000 psi</v>
      </c>
      <c r="AV15" s="1489"/>
      <c r="AW15" s="1489"/>
      <c r="AX15" s="1489"/>
      <c r="AY15" s="1489" t="str">
        <f t="shared" si="5"/>
        <v>Fresado</v>
      </c>
      <c r="AZ15" s="1490" t="str">
        <f t="shared" si="6"/>
        <v>Agregados combinados MD-10</v>
      </c>
      <c r="BB15" s="894">
        <v>8</v>
      </c>
      <c r="BC15" s="1498" t="str">
        <f>""</f>
        <v/>
      </c>
      <c r="BD15" s="1498" t="str">
        <f>""</f>
        <v/>
      </c>
      <c r="BE15" s="1498" t="str">
        <f>""</f>
        <v/>
      </c>
      <c r="BF15" s="1518"/>
      <c r="BG15" s="1498" t="str">
        <f>""</f>
        <v/>
      </c>
      <c r="BH15" s="1498" t="str">
        <f>""</f>
        <v/>
      </c>
      <c r="BI15" s="1498" t="str">
        <f>""</f>
        <v/>
      </c>
      <c r="BJ15" s="1498" t="str">
        <f>""</f>
        <v/>
      </c>
      <c r="BK15" s="1492" t="s">
        <v>920</v>
      </c>
      <c r="BL15" s="1492" t="s">
        <v>920</v>
      </c>
      <c r="BM15" s="1524"/>
    </row>
    <row r="16" spans="1:65" s="615" customFormat="1" ht="15" customHeight="1">
      <c r="A16" s="894"/>
      <c r="B16" s="3344" t="str">
        <f t="shared" ref="B16:B24" si="7">IF($T$7="","",IF($AA$7=$AH$7,BC8,IF($AA$7=$AH$8,BD8,IF($AA$7=$AH$9,BE8,IF($AA$7=$AH$10,BF8,IF($AA$7=$AH$11,BG8,IF($AA$7=$AH$12,BH8,IF($AA$7=$AH$13,BI8,IF($AA$7=$AH$14,BJ8,IF($AA$7=$AH$15,BK8,IF($AA$7=$AH$16,BL8,IF($AA$7=$AH$17,BM8,""))))))))))))</f>
        <v/>
      </c>
      <c r="C16" s="3344"/>
      <c r="D16" s="3344"/>
      <c r="E16" s="3344"/>
      <c r="F16" s="3344"/>
      <c r="G16" s="3344"/>
      <c r="H16" s="3344"/>
      <c r="I16" s="3345"/>
      <c r="J16" s="3345"/>
      <c r="K16" s="3345"/>
      <c r="L16" s="3345"/>
      <c r="M16" s="3345"/>
      <c r="N16" s="3345"/>
      <c r="O16" s="3345"/>
      <c r="P16" s="3345"/>
      <c r="Q16" s="3345"/>
      <c r="R16" s="3345"/>
      <c r="S16" s="3345"/>
      <c r="T16" s="3345"/>
      <c r="U16" s="3345"/>
      <c r="V16" s="3345"/>
      <c r="W16" s="3345"/>
      <c r="X16" s="3345"/>
      <c r="Y16" s="3345"/>
      <c r="Z16" s="1514"/>
      <c r="AA16" s="1522"/>
      <c r="AB16" s="1522" t="s">
        <v>942</v>
      </c>
      <c r="AC16" s="1522"/>
      <c r="AD16" s="2850"/>
      <c r="AE16" s="2851"/>
      <c r="AF16" s="3346"/>
      <c r="AG16" s="1479">
        <v>10</v>
      </c>
      <c r="AH16" s="1296" t="s">
        <v>858</v>
      </c>
      <c r="AI16" s="1488" t="s">
        <v>943</v>
      </c>
      <c r="AJ16" s="1489"/>
      <c r="AK16" s="1489"/>
      <c r="AL16" s="1489" t="str">
        <f>+AR10</f>
        <v>2500 psi</v>
      </c>
      <c r="AM16" s="1489"/>
      <c r="AN16" s="1489"/>
      <c r="AO16" s="1489" t="s">
        <v>944</v>
      </c>
      <c r="AP16" s="1489" t="s">
        <v>945</v>
      </c>
      <c r="AQ16" s="1489"/>
      <c r="AR16" s="1489"/>
      <c r="AS16" s="1489" t="str">
        <f t="shared" si="2"/>
        <v>Base estabilizada con emulsión y cemento</v>
      </c>
      <c r="AT16" s="1488" t="str">
        <f t="shared" si="3"/>
        <v>Material filtrante de 3"</v>
      </c>
      <c r="AU16" s="1489" t="str">
        <f t="shared" si="4"/>
        <v>2500 psi</v>
      </c>
      <c r="AV16" s="1489"/>
      <c r="AW16" s="1489"/>
      <c r="AX16" s="1489"/>
      <c r="AY16" s="1489" t="str">
        <f t="shared" si="5"/>
        <v>Base estabilizada con emulsión y cemento</v>
      </c>
      <c r="AZ16" s="1490" t="str">
        <f t="shared" si="6"/>
        <v>Agregados combinados MD-12</v>
      </c>
      <c r="BB16" s="1294">
        <v>9</v>
      </c>
      <c r="BC16" s="1525" t="str">
        <f>""</f>
        <v/>
      </c>
      <c r="BD16" s="1525" t="str">
        <f>""</f>
        <v/>
      </c>
      <c r="BE16" s="1525" t="str">
        <f>""</f>
        <v/>
      </c>
      <c r="BF16" s="1525"/>
      <c r="BG16" s="1525" t="str">
        <f>""</f>
        <v/>
      </c>
      <c r="BH16" s="1525" t="str">
        <f>""</f>
        <v/>
      </c>
      <c r="BI16" s="1525" t="str">
        <f>""</f>
        <v/>
      </c>
      <c r="BJ16" s="1525" t="str">
        <f>""</f>
        <v/>
      </c>
      <c r="BK16" s="1525" t="str">
        <f>""</f>
        <v/>
      </c>
      <c r="BL16" s="1526" t="s">
        <v>921</v>
      </c>
      <c r="BM16" s="1527"/>
    </row>
    <row r="17" spans="1:65" s="615" customFormat="1" ht="15" customHeight="1">
      <c r="A17" s="894"/>
      <c r="B17" s="3344" t="str">
        <f t="shared" si="7"/>
        <v/>
      </c>
      <c r="C17" s="3344"/>
      <c r="D17" s="3344"/>
      <c r="E17" s="3344"/>
      <c r="F17" s="3344"/>
      <c r="G17" s="3344"/>
      <c r="H17" s="3344"/>
      <c r="I17" s="3345"/>
      <c r="J17" s="3345"/>
      <c r="K17" s="3345"/>
      <c r="L17" s="3345"/>
      <c r="M17" s="3345"/>
      <c r="N17" s="3345"/>
      <c r="O17" s="3345"/>
      <c r="P17" s="3345"/>
      <c r="Q17" s="3345"/>
      <c r="R17" s="3345"/>
      <c r="S17" s="3345"/>
      <c r="T17" s="3345"/>
      <c r="U17" s="3345"/>
      <c r="V17" s="3345"/>
      <c r="W17" s="3345"/>
      <c r="X17" s="3345"/>
      <c r="Y17" s="3345"/>
      <c r="Z17" s="1514"/>
      <c r="AA17" s="1522"/>
      <c r="AB17" s="1522" t="s">
        <v>946</v>
      </c>
      <c r="AC17" s="1522"/>
      <c r="AD17" s="3340" t="s">
        <v>560</v>
      </c>
      <c r="AE17" s="3342" t="s">
        <v>560</v>
      </c>
      <c r="AF17" s="3346"/>
      <c r="AG17" s="1526">
        <v>11</v>
      </c>
      <c r="AH17" s="1526" t="s">
        <v>947</v>
      </c>
      <c r="AI17" s="1488" t="s">
        <v>948</v>
      </c>
      <c r="AJ17" s="1489"/>
      <c r="AK17" s="1489"/>
      <c r="AL17" s="1489"/>
      <c r="AM17" s="1489"/>
      <c r="AN17" s="1489"/>
      <c r="AO17" s="1489" t="s">
        <v>949</v>
      </c>
      <c r="AP17" s="1489" t="s">
        <v>950</v>
      </c>
      <c r="AQ17" s="1489"/>
      <c r="AR17" s="1489"/>
      <c r="AS17" s="1489" t="str">
        <f t="shared" si="2"/>
        <v xml:space="preserve">70%SBG-A + 30% Fresado </v>
      </c>
      <c r="AT17" s="1488" t="str">
        <f t="shared" si="3"/>
        <v>Material filtrante de 1"</v>
      </c>
      <c r="AU17" s="1489" t="str">
        <f>+AK11</f>
        <v>Capa 1 MD-12 y Capa 2 MGCR-Tipo 1</v>
      </c>
      <c r="AV17" s="1489"/>
      <c r="AW17" s="1489"/>
      <c r="AX17" s="1489"/>
      <c r="AY17" s="1489" t="str">
        <f t="shared" si="5"/>
        <v xml:space="preserve">70%SBG-A + 30% Fresado </v>
      </c>
      <c r="AZ17" s="1490" t="str">
        <f t="shared" si="6"/>
        <v>Agregados combinados MGCR Tipo 1</v>
      </c>
      <c r="BK17" s="1518"/>
      <c r="BL17" s="1518"/>
      <c r="BM17" s="1518"/>
    </row>
    <row r="18" spans="1:65" s="615" customFormat="1" ht="15" customHeight="1">
      <c r="A18" s="894"/>
      <c r="B18" s="3344" t="str">
        <f t="shared" si="7"/>
        <v/>
      </c>
      <c r="C18" s="3344"/>
      <c r="D18" s="3344"/>
      <c r="E18" s="3344"/>
      <c r="F18" s="3344"/>
      <c r="G18" s="3344"/>
      <c r="H18" s="3344"/>
      <c r="I18" s="3356"/>
      <c r="J18" s="3356"/>
      <c r="K18" s="3356"/>
      <c r="L18" s="3356"/>
      <c r="M18" s="3356"/>
      <c r="N18" s="3356"/>
      <c r="O18" s="3356"/>
      <c r="P18" s="3356"/>
      <c r="Q18" s="3356"/>
      <c r="R18" s="3356"/>
      <c r="S18" s="3356"/>
      <c r="T18" s="3356"/>
      <c r="U18" s="3356"/>
      <c r="V18" s="3356"/>
      <c r="W18" s="3356"/>
      <c r="X18" s="3356"/>
      <c r="Y18" s="3356"/>
      <c r="Z18" s="1514"/>
      <c r="AA18" s="1522"/>
      <c r="AB18" s="1522"/>
      <c r="AC18" s="1522"/>
      <c r="AD18" s="2850"/>
      <c r="AE18" s="2851"/>
      <c r="AF18" s="3346"/>
      <c r="AG18" s="1528">
        <v>12</v>
      </c>
      <c r="AH18" s="1522"/>
      <c r="AI18" s="894"/>
      <c r="AJ18" s="1518"/>
      <c r="AK18" s="1518"/>
      <c r="AL18" s="1518"/>
      <c r="AM18" s="1518"/>
      <c r="AN18" s="1518"/>
      <c r="AO18" s="1518"/>
      <c r="AP18" s="1518"/>
      <c r="AQ18" s="1518"/>
      <c r="AR18" s="1518"/>
      <c r="AS18" s="1489" t="str">
        <f>+AP14</f>
        <v>Piedra rajón</v>
      </c>
      <c r="AT18" s="1488" t="str">
        <f>+AI14</f>
        <v>Remanente</v>
      </c>
      <c r="AU18" s="1489" t="str">
        <f>+AK12</f>
        <v>Capa 1 MGCR Tipo 1 y capa 2 MD-12</v>
      </c>
      <c r="AV18" s="1489"/>
      <c r="AW18" s="1489"/>
      <c r="AX18" s="1489"/>
      <c r="AY18" s="1489" t="str">
        <f t="shared" si="5"/>
        <v>Piedra rajón</v>
      </c>
      <c r="AZ18" s="1490"/>
    </row>
    <row r="19" spans="1:65" s="615" customFormat="1" ht="15" customHeight="1">
      <c r="A19" s="894"/>
      <c r="B19" s="3344" t="str">
        <f t="shared" si="7"/>
        <v/>
      </c>
      <c r="C19" s="3344"/>
      <c r="D19" s="3344"/>
      <c r="E19" s="3344"/>
      <c r="F19" s="3344"/>
      <c r="G19" s="3344"/>
      <c r="H19" s="3344"/>
      <c r="I19" s="3345"/>
      <c r="J19" s="3345"/>
      <c r="K19" s="3345"/>
      <c r="L19" s="3345"/>
      <c r="M19" s="3345"/>
      <c r="N19" s="3345"/>
      <c r="O19" s="3345"/>
      <c r="P19" s="3345"/>
      <c r="Q19" s="3345"/>
      <c r="R19" s="3345"/>
      <c r="S19" s="3345"/>
      <c r="T19" s="3345"/>
      <c r="U19" s="3345"/>
      <c r="V19" s="3345"/>
      <c r="W19" s="3345"/>
      <c r="X19" s="3345"/>
      <c r="Y19" s="3345"/>
      <c r="Z19" s="1514"/>
      <c r="AA19" s="1522"/>
      <c r="AB19" s="1522"/>
      <c r="AC19" s="1522"/>
      <c r="AD19" s="3341"/>
      <c r="AE19" s="3343"/>
      <c r="AF19" s="3347"/>
      <c r="AG19" s="1528">
        <v>13</v>
      </c>
      <c r="AH19" s="1522"/>
      <c r="AI19" s="894"/>
      <c r="AJ19" s="1518"/>
      <c r="AK19" s="1518"/>
      <c r="AL19" s="1518"/>
      <c r="AM19" s="1518"/>
      <c r="AN19" s="1518"/>
      <c r="AO19" s="1518"/>
      <c r="AP19" s="1518"/>
      <c r="AQ19" s="1518"/>
      <c r="AR19" s="1518"/>
      <c r="AS19" s="1489" t="str">
        <f>+AP15</f>
        <v>Recebo común</v>
      </c>
      <c r="AT19" s="1488" t="str">
        <f>+AI15</f>
        <v>Fresado</v>
      </c>
      <c r="AU19" s="1489"/>
      <c r="AV19" s="1489"/>
      <c r="AW19" s="1489"/>
      <c r="AX19" s="1489"/>
      <c r="AY19" s="1489" t="str">
        <f t="shared" si="5"/>
        <v>Recebo común</v>
      </c>
      <c r="AZ19" s="1490"/>
    </row>
    <row r="20" spans="1:65" s="615" customFormat="1" ht="15" customHeight="1">
      <c r="A20" s="894"/>
      <c r="B20" s="3344" t="str">
        <f t="shared" si="7"/>
        <v/>
      </c>
      <c r="C20" s="3344"/>
      <c r="D20" s="3344"/>
      <c r="E20" s="3344"/>
      <c r="F20" s="3344"/>
      <c r="G20" s="3344"/>
      <c r="H20" s="3344"/>
      <c r="I20" s="3345"/>
      <c r="J20" s="3345"/>
      <c r="K20" s="3345"/>
      <c r="L20" s="3345"/>
      <c r="M20" s="3345"/>
      <c r="N20" s="3345"/>
      <c r="O20" s="3345"/>
      <c r="P20" s="3345"/>
      <c r="Q20" s="3345"/>
      <c r="R20" s="3345"/>
      <c r="S20" s="3345"/>
      <c r="T20" s="3345"/>
      <c r="U20" s="3345"/>
      <c r="V20" s="3345"/>
      <c r="W20" s="3345"/>
      <c r="X20" s="3345"/>
      <c r="Y20" s="3345"/>
      <c r="Z20" s="1514"/>
      <c r="AA20" s="1522"/>
      <c r="AB20" s="1522"/>
      <c r="AC20" s="1522"/>
      <c r="AD20" s="1517"/>
      <c r="AE20" s="1517"/>
      <c r="AF20" s="1517"/>
      <c r="AG20" s="1528">
        <v>14</v>
      </c>
      <c r="AH20" s="1522"/>
      <c r="AI20" s="894"/>
      <c r="AJ20" s="1518"/>
      <c r="AK20" s="1518"/>
      <c r="AL20" s="1518"/>
      <c r="AM20" s="1518"/>
      <c r="AN20" s="1518"/>
      <c r="AO20" s="1518"/>
      <c r="AP20" s="1518"/>
      <c r="AQ20" s="1518"/>
      <c r="AR20" s="1518"/>
      <c r="AS20" s="1489" t="str">
        <f>+AP16</f>
        <v>Material filtrante de 3"</v>
      </c>
      <c r="AT20" s="1488" t="str">
        <f>+AI16</f>
        <v>Base estabilizada con emulsión y cemento</v>
      </c>
      <c r="AU20" s="1489"/>
      <c r="AV20" s="1489"/>
      <c r="AW20" s="1489"/>
      <c r="AX20" s="1489"/>
      <c r="AY20" s="1489" t="str">
        <f t="shared" si="5"/>
        <v>Material filtrante de 3"</v>
      </c>
      <c r="AZ20" s="1490"/>
    </row>
    <row r="21" spans="1:65" s="615" customFormat="1" ht="15" customHeight="1">
      <c r="A21" s="894"/>
      <c r="B21" s="3344" t="str">
        <f t="shared" si="7"/>
        <v/>
      </c>
      <c r="C21" s="3344"/>
      <c r="D21" s="3344"/>
      <c r="E21" s="3344"/>
      <c r="F21" s="3344"/>
      <c r="G21" s="3344"/>
      <c r="H21" s="3344"/>
      <c r="I21" s="3349"/>
      <c r="J21" s="3349"/>
      <c r="K21" s="3349"/>
      <c r="L21" s="3349"/>
      <c r="M21" s="3349"/>
      <c r="N21" s="3349"/>
      <c r="O21" s="3349"/>
      <c r="P21" s="3349"/>
      <c r="Q21" s="3349"/>
      <c r="R21" s="3349"/>
      <c r="S21" s="3349"/>
      <c r="T21" s="3349"/>
      <c r="U21" s="3349"/>
      <c r="V21" s="3349"/>
      <c r="W21" s="3349"/>
      <c r="X21" s="3349"/>
      <c r="Y21" s="3349"/>
      <c r="Z21" s="1514"/>
      <c r="AA21" s="1522"/>
      <c r="AB21" s="1522"/>
      <c r="AC21" s="1522"/>
      <c r="AD21" s="3352" t="str">
        <f>+N39</f>
        <v>Aprobó</v>
      </c>
      <c r="AE21" s="3353"/>
      <c r="AF21" s="3354"/>
      <c r="AG21" s="1528">
        <v>15</v>
      </c>
      <c r="AH21" s="1522"/>
      <c r="AI21" s="894"/>
      <c r="AJ21" s="1518"/>
      <c r="AK21" s="1518"/>
      <c r="AL21" s="1518"/>
      <c r="AM21" s="1518"/>
      <c r="AN21" s="1518"/>
      <c r="AO21" s="1518"/>
      <c r="AP21" s="1518"/>
      <c r="AQ21" s="1518"/>
      <c r="AR21" s="1518"/>
      <c r="AS21" s="1489" t="str">
        <f>+AP17</f>
        <v>Material filtrante de 1"</v>
      </c>
      <c r="AT21" s="1488" t="str">
        <f>+AI17</f>
        <v xml:space="preserve">70%SBG-A + 30% Fresado </v>
      </c>
      <c r="AU21" s="1489"/>
      <c r="AV21" s="1489"/>
      <c r="AW21" s="1489"/>
      <c r="AX21" s="1489"/>
      <c r="AY21" s="1489" t="str">
        <f t="shared" si="5"/>
        <v>Material filtrante de 1"</v>
      </c>
      <c r="AZ21" s="1490"/>
    </row>
    <row r="22" spans="1:65" s="615" customFormat="1" ht="15" customHeight="1">
      <c r="A22" s="894"/>
      <c r="B22" s="3344" t="str">
        <f t="shared" si="7"/>
        <v/>
      </c>
      <c r="C22" s="3344"/>
      <c r="D22" s="3344"/>
      <c r="E22" s="3344"/>
      <c r="F22" s="3344"/>
      <c r="G22" s="3344"/>
      <c r="H22" s="3344"/>
      <c r="I22" s="3350"/>
      <c r="J22" s="3350"/>
      <c r="K22" s="1529" t="str">
        <f>IF(I22="","",IF(AA7="Apiques","",$AA$5))</f>
        <v/>
      </c>
      <c r="L22" s="1530"/>
      <c r="M22" s="1530"/>
      <c r="N22" s="3351"/>
      <c r="O22" s="3351"/>
      <c r="P22" s="1529" t="str">
        <f>IF(N22="","",$AA$5)</f>
        <v/>
      </c>
      <c r="Q22" s="1530"/>
      <c r="R22" s="1530"/>
      <c r="S22" s="1530"/>
      <c r="T22" s="1530"/>
      <c r="U22" s="1530"/>
      <c r="V22" s="1530"/>
      <c r="W22" s="1530"/>
      <c r="X22" s="1530"/>
      <c r="Y22" s="1530"/>
      <c r="Z22" s="1514"/>
      <c r="AA22" s="1522"/>
      <c r="AB22" s="1522"/>
      <c r="AC22" s="1522"/>
      <c r="AD22" s="1476" t="s">
        <v>860</v>
      </c>
      <c r="AE22" s="1477" t="s">
        <v>861</v>
      </c>
      <c r="AF22" s="1478" t="s">
        <v>862</v>
      </c>
      <c r="AG22" s="1528">
        <v>16</v>
      </c>
      <c r="AH22" s="1522"/>
      <c r="AI22" s="894"/>
      <c r="AJ22" s="1518"/>
      <c r="AK22" s="1518"/>
      <c r="AL22" s="1518"/>
      <c r="AM22" s="1518"/>
      <c r="AN22" s="1518"/>
      <c r="AO22" s="1518"/>
      <c r="AP22" s="1518"/>
      <c r="AQ22" s="1518"/>
      <c r="AR22" s="1518"/>
      <c r="AS22" s="1518" t="str">
        <f>+AO8</f>
        <v>Grava 1"</v>
      </c>
      <c r="AT22" s="894"/>
      <c r="AU22" s="1518"/>
      <c r="AV22" s="1518"/>
      <c r="AW22" s="1518"/>
      <c r="AX22" s="1518"/>
      <c r="AY22" s="1489" t="str">
        <f t="shared" si="5"/>
        <v>Grava 1"</v>
      </c>
      <c r="AZ22" s="1490"/>
    </row>
    <row r="23" spans="1:65" s="615" customFormat="1" ht="15" customHeight="1">
      <c r="A23" s="894"/>
      <c r="B23" s="3344" t="str">
        <f t="shared" si="7"/>
        <v/>
      </c>
      <c r="C23" s="3344"/>
      <c r="D23" s="3344"/>
      <c r="E23" s="3344"/>
      <c r="F23" s="3344"/>
      <c r="G23" s="3344"/>
      <c r="H23" s="3344"/>
      <c r="I23" s="3345"/>
      <c r="J23" s="3345"/>
      <c r="K23" s="3345"/>
      <c r="L23" s="3345"/>
      <c r="M23" s="3345"/>
      <c r="N23" s="3345"/>
      <c r="O23" s="3345"/>
      <c r="P23" s="3345"/>
      <c r="Q23" s="3345"/>
      <c r="R23" s="3345"/>
      <c r="S23" s="3345"/>
      <c r="T23" s="3345"/>
      <c r="U23" s="3345"/>
      <c r="V23" s="3345"/>
      <c r="W23" s="3345"/>
      <c r="X23" s="3345"/>
      <c r="Y23" s="3345"/>
      <c r="Z23" s="1514"/>
      <c r="AA23" s="1522"/>
      <c r="AB23" s="1522"/>
      <c r="AC23" s="1522"/>
      <c r="AD23" s="2850" t="s">
        <v>951</v>
      </c>
      <c r="AE23" s="2851" t="s">
        <v>952</v>
      </c>
      <c r="AF23" s="3346"/>
      <c r="AG23" s="1522"/>
      <c r="AH23" s="1522"/>
      <c r="AI23" s="894"/>
      <c r="AJ23" s="1518"/>
      <c r="AK23" s="1518"/>
      <c r="AL23" s="1518"/>
      <c r="AM23" s="1518"/>
      <c r="AN23" s="1518"/>
      <c r="AO23" s="1518"/>
      <c r="AP23" s="1518"/>
      <c r="AQ23" s="1518"/>
      <c r="AR23" s="1518"/>
      <c r="AS23" s="1518" t="str">
        <f t="shared" ref="AS23:AS31" si="8">+AO9</f>
        <v>Grava ¾"</v>
      </c>
      <c r="AT23" s="894"/>
      <c r="AU23" s="1518"/>
      <c r="AV23" s="1518"/>
      <c r="AW23" s="1518"/>
      <c r="AX23" s="1518"/>
      <c r="AY23" s="1489" t="str">
        <f t="shared" si="5"/>
        <v>Grava ¾"</v>
      </c>
      <c r="AZ23" s="1490"/>
    </row>
    <row r="24" spans="1:65" s="615" customFormat="1" ht="15" customHeight="1">
      <c r="A24" s="894"/>
      <c r="B24" s="3344" t="str">
        <f t="shared" si="7"/>
        <v/>
      </c>
      <c r="C24" s="3344"/>
      <c r="D24" s="3344"/>
      <c r="E24" s="3344"/>
      <c r="F24" s="3344"/>
      <c r="G24" s="3344"/>
      <c r="H24" s="3344"/>
      <c r="I24" s="3345"/>
      <c r="J24" s="3345"/>
      <c r="K24" s="3345"/>
      <c r="L24" s="3345"/>
      <c r="M24" s="3345"/>
      <c r="N24" s="3345"/>
      <c r="O24" s="3345"/>
      <c r="P24" s="3345"/>
      <c r="Q24" s="3345"/>
      <c r="R24" s="3345"/>
      <c r="S24" s="3345"/>
      <c r="T24" s="3345"/>
      <c r="U24" s="3345"/>
      <c r="V24" s="3345"/>
      <c r="W24" s="3345"/>
      <c r="X24" s="3345"/>
      <c r="Y24" s="3345"/>
      <c r="Z24" s="1514"/>
      <c r="AA24" s="1522"/>
      <c r="AB24" s="1522"/>
      <c r="AC24" s="1522"/>
      <c r="AD24" s="2850"/>
      <c r="AE24" s="2851"/>
      <c r="AF24" s="3346"/>
      <c r="AG24" s="1522"/>
      <c r="AH24" s="1522"/>
      <c r="AI24" s="894"/>
      <c r="AJ24" s="1518"/>
      <c r="AK24" s="1518"/>
      <c r="AL24" s="1518"/>
      <c r="AM24" s="1518"/>
      <c r="AN24" s="1518"/>
      <c r="AO24" s="1518"/>
      <c r="AP24" s="1518"/>
      <c r="AQ24" s="1518"/>
      <c r="AR24" s="1518"/>
      <c r="AS24" s="1518" t="str">
        <f t="shared" si="8"/>
        <v>Grava ½"</v>
      </c>
      <c r="AT24" s="894"/>
      <c r="AU24" s="1518"/>
      <c r="AV24" s="1518"/>
      <c r="AW24" s="1518"/>
      <c r="AX24" s="1518"/>
      <c r="AY24" s="1489" t="str">
        <f t="shared" si="5"/>
        <v>Grava ½"</v>
      </c>
      <c r="AZ24" s="1490"/>
    </row>
    <row r="25" spans="1:65" s="615" customFormat="1" ht="15" customHeight="1">
      <c r="A25" s="894"/>
      <c r="B25" s="1519" t="s">
        <v>5</v>
      </c>
      <c r="C25" s="1519"/>
      <c r="D25" s="1519"/>
      <c r="E25" s="1519"/>
      <c r="F25" s="1519"/>
      <c r="G25" s="1519"/>
      <c r="H25" s="1519"/>
      <c r="I25" s="3355"/>
      <c r="J25" s="3355"/>
      <c r="K25" s="3355"/>
      <c r="L25" s="3355"/>
      <c r="M25" s="3355"/>
      <c r="N25" s="3355"/>
      <c r="O25" s="3355"/>
      <c r="P25" s="3355"/>
      <c r="Q25" s="3355"/>
      <c r="R25" s="3355"/>
      <c r="S25" s="3355"/>
      <c r="T25" s="3355"/>
      <c r="U25" s="3355"/>
      <c r="V25" s="3355"/>
      <c r="W25" s="3355"/>
      <c r="X25" s="3355"/>
      <c r="Y25" s="3355"/>
      <c r="Z25" s="1495"/>
      <c r="AA25" s="1497"/>
      <c r="AB25" s="1497"/>
      <c r="AC25" s="1497"/>
      <c r="AD25" s="2850"/>
      <c r="AE25" s="2851"/>
      <c r="AF25" s="3346"/>
      <c r="AG25" s="1497"/>
      <c r="AI25" s="894"/>
      <c r="AJ25" s="1518"/>
      <c r="AK25" s="1518"/>
      <c r="AL25" s="1518"/>
      <c r="AM25" s="1518"/>
      <c r="AN25" s="1518"/>
      <c r="AO25" s="1518"/>
      <c r="AP25" s="1518"/>
      <c r="AQ25" s="1518"/>
      <c r="AR25" s="1518"/>
      <c r="AS25" s="1518" t="str">
        <f t="shared" si="8"/>
        <v>Arena triturada de rio</v>
      </c>
      <c r="AT25" s="894"/>
      <c r="AU25" s="1518"/>
      <c r="AV25" s="1518"/>
      <c r="AW25" s="1518"/>
      <c r="AX25" s="1518"/>
      <c r="AY25" s="1489" t="str">
        <f t="shared" si="5"/>
        <v>Arena triturada de rio</v>
      </c>
      <c r="AZ25" s="1490"/>
    </row>
    <row r="26" spans="1:65" s="615" customFormat="1" ht="15" customHeight="1">
      <c r="A26" s="894"/>
      <c r="B26" s="1519"/>
      <c r="C26" s="1519"/>
      <c r="D26" s="1519"/>
      <c r="E26" s="1519"/>
      <c r="F26" s="1519"/>
      <c r="G26" s="1519"/>
      <c r="H26" s="1519"/>
      <c r="I26" s="1519"/>
      <c r="J26" s="1519"/>
      <c r="K26" s="1519"/>
      <c r="L26" s="1519"/>
      <c r="M26" s="1519"/>
      <c r="N26" s="1519"/>
      <c r="O26" s="1519"/>
      <c r="P26" s="1519"/>
      <c r="Q26" s="1519"/>
      <c r="R26" s="1519"/>
      <c r="S26" s="1519"/>
      <c r="T26" s="1469"/>
      <c r="U26" s="1469"/>
      <c r="V26" s="1469"/>
      <c r="W26" s="1469"/>
      <c r="X26" s="1469"/>
      <c r="Y26" s="1469"/>
      <c r="Z26" s="1495"/>
      <c r="AA26" s="1497"/>
      <c r="AB26" s="1497"/>
      <c r="AC26" s="1497"/>
      <c r="AD26" s="2850" t="s">
        <v>953</v>
      </c>
      <c r="AE26" s="2851" t="s">
        <v>954</v>
      </c>
      <c r="AF26" s="3346"/>
      <c r="AG26" s="1497"/>
      <c r="AI26" s="894"/>
      <c r="AJ26" s="1518"/>
      <c r="AK26" s="1518"/>
      <c r="AL26" s="1518"/>
      <c r="AM26" s="1518"/>
      <c r="AN26" s="1518"/>
      <c r="AO26" s="1518"/>
      <c r="AP26" s="1518"/>
      <c r="AQ26" s="1518"/>
      <c r="AR26" s="1518"/>
      <c r="AS26" s="1518" t="str">
        <f t="shared" si="8"/>
        <v>Arena triturada de cantera</v>
      </c>
      <c r="AT26" s="894"/>
      <c r="AU26" s="1518"/>
      <c r="AV26" s="1518"/>
      <c r="AW26" s="1518"/>
      <c r="AX26" s="1518"/>
      <c r="AY26" s="1489" t="str">
        <f t="shared" si="5"/>
        <v>Arena triturada de cantera</v>
      </c>
      <c r="AZ26" s="1490"/>
    </row>
    <row r="27" spans="1:65" s="615" customFormat="1" ht="15" customHeight="1">
      <c r="A27" s="894"/>
      <c r="B27" s="1519" t="s">
        <v>40</v>
      </c>
      <c r="C27" s="1519"/>
      <c r="D27" s="1519"/>
      <c r="E27" s="1519"/>
      <c r="F27" s="1519"/>
      <c r="G27" s="1519"/>
      <c r="H27" s="1519"/>
      <c r="I27" s="3348"/>
      <c r="J27" s="3348"/>
      <c r="K27" s="3348"/>
      <c r="L27" s="3348"/>
      <c r="M27" s="3348"/>
      <c r="N27" s="3348"/>
      <c r="O27" s="3348"/>
      <c r="P27" s="3348"/>
      <c r="Q27" s="3348"/>
      <c r="R27" s="3348"/>
      <c r="S27" s="3348"/>
      <c r="T27" s="3348"/>
      <c r="U27" s="3348"/>
      <c r="V27" s="3348"/>
      <c r="W27" s="3348"/>
      <c r="X27" s="3348"/>
      <c r="Y27" s="3348"/>
      <c r="Z27" s="1495"/>
      <c r="AA27" s="1497"/>
      <c r="AB27" s="1497"/>
      <c r="AC27" s="1497"/>
      <c r="AD27" s="2850"/>
      <c r="AE27" s="2851"/>
      <c r="AF27" s="3346"/>
      <c r="AG27" s="1497"/>
      <c r="AI27" s="894"/>
      <c r="AJ27" s="1518"/>
      <c r="AK27" s="1518"/>
      <c r="AL27" s="1518"/>
      <c r="AM27" s="1518"/>
      <c r="AN27" s="1518"/>
      <c r="AO27" s="1518"/>
      <c r="AP27" s="1518"/>
      <c r="AQ27" s="1518"/>
      <c r="AR27" s="1518"/>
      <c r="AS27" s="1518" t="str">
        <f t="shared" si="8"/>
        <v>Arena natural</v>
      </c>
      <c r="AT27" s="894"/>
      <c r="AU27" s="1518"/>
      <c r="AV27" s="1518"/>
      <c r="AW27" s="1518"/>
      <c r="AX27" s="1518"/>
      <c r="AY27" s="1489" t="str">
        <f t="shared" si="5"/>
        <v>Arena natural</v>
      </c>
      <c r="AZ27" s="1490"/>
    </row>
    <row r="28" spans="1:65" s="615" customFormat="1" ht="15" customHeight="1">
      <c r="A28" s="894"/>
      <c r="B28" s="1519" t="s">
        <v>955</v>
      </c>
      <c r="C28" s="1519"/>
      <c r="D28" s="1519"/>
      <c r="E28" s="1519"/>
      <c r="F28" s="1519"/>
      <c r="G28" s="1519"/>
      <c r="H28" s="1519"/>
      <c r="I28" s="3348"/>
      <c r="J28" s="3348"/>
      <c r="K28" s="3348"/>
      <c r="L28" s="3348"/>
      <c r="M28" s="3348"/>
      <c r="N28" s="3348"/>
      <c r="O28" s="3348"/>
      <c r="P28" s="3348"/>
      <c r="Q28" s="3348"/>
      <c r="R28" s="3348"/>
      <c r="S28" s="3348"/>
      <c r="T28" s="3348"/>
      <c r="U28" s="3348"/>
      <c r="V28" s="3348"/>
      <c r="W28" s="3348"/>
      <c r="X28" s="3348"/>
      <c r="Y28" s="3348"/>
      <c r="Z28" s="1495"/>
      <c r="AA28" s="1497"/>
      <c r="AB28" s="1497"/>
      <c r="AC28" s="1497"/>
      <c r="AD28" s="2850"/>
      <c r="AE28" s="2851"/>
      <c r="AF28" s="3346"/>
      <c r="AG28" s="1497"/>
      <c r="AI28" s="894"/>
      <c r="AJ28" s="1518"/>
      <c r="AK28" s="1518"/>
      <c r="AL28" s="1518"/>
      <c r="AM28" s="1518"/>
      <c r="AN28" s="1518"/>
      <c r="AO28" s="1518"/>
      <c r="AP28" s="1518"/>
      <c r="AQ28" s="1518"/>
      <c r="AR28" s="1518"/>
      <c r="AS28" s="1518" t="str">
        <f t="shared" si="8"/>
        <v>Arena de peña</v>
      </c>
      <c r="AT28" s="894"/>
      <c r="AU28" s="1518"/>
      <c r="AV28" s="1518"/>
      <c r="AW28" s="1518"/>
      <c r="AX28" s="1518"/>
      <c r="AY28" s="1489" t="str">
        <f t="shared" si="5"/>
        <v>Arena de peña</v>
      </c>
      <c r="AZ28" s="1490"/>
    </row>
    <row r="29" spans="1:65" s="615" customFormat="1" ht="15" customHeight="1">
      <c r="A29" s="894"/>
      <c r="B29" s="1519" t="s">
        <v>956</v>
      </c>
      <c r="C29" s="1519"/>
      <c r="D29" s="1519"/>
      <c r="E29" s="1519"/>
      <c r="F29" s="1519"/>
      <c r="G29" s="1519"/>
      <c r="H29" s="1519"/>
      <c r="I29" s="3336">
        <f>+IF(AB10="","",AB10)</f>
        <v>2</v>
      </c>
      <c r="J29" s="3336"/>
      <c r="K29" s="3336"/>
      <c r="L29" s="3336"/>
      <c r="M29" s="3336"/>
      <c r="N29" s="3336"/>
      <c r="O29" s="3336"/>
      <c r="P29" s="3336"/>
      <c r="Q29" s="3336"/>
      <c r="R29" s="3336"/>
      <c r="S29" s="3336"/>
      <c r="T29" s="3336"/>
      <c r="U29" s="3336"/>
      <c r="V29" s="3336"/>
      <c r="W29" s="3336"/>
      <c r="X29" s="3336"/>
      <c r="Y29" s="3336"/>
      <c r="Z29" s="1495"/>
      <c r="AA29" s="1497"/>
      <c r="AB29" s="1497"/>
      <c r="AC29" s="1497"/>
      <c r="AD29" s="3340" t="s">
        <v>560</v>
      </c>
      <c r="AE29" s="3342" t="s">
        <v>560</v>
      </c>
      <c r="AF29" s="3346"/>
      <c r="AG29" s="1497"/>
      <c r="AI29" s="894"/>
      <c r="AJ29" s="1518"/>
      <c r="AK29" s="1518"/>
      <c r="AL29" s="1518"/>
      <c r="AM29" s="1518"/>
      <c r="AN29" s="1518"/>
      <c r="AO29" s="1518"/>
      <c r="AP29" s="1518"/>
      <c r="AQ29" s="1518"/>
      <c r="AR29" s="1518"/>
      <c r="AS29" s="1518" t="str">
        <f t="shared" si="8"/>
        <v>Agregados combinados MD-10</v>
      </c>
      <c r="AT29" s="894"/>
      <c r="AU29" s="1518"/>
      <c r="AV29" s="1518"/>
      <c r="AW29" s="1518"/>
      <c r="AX29" s="1518"/>
      <c r="AY29" s="1489" t="str">
        <f t="shared" si="5"/>
        <v>Agregados combinados MD-10</v>
      </c>
      <c r="AZ29" s="1490"/>
    </row>
    <row r="30" spans="1:65" s="615" customFormat="1" ht="15" customHeight="1">
      <c r="A30" s="894"/>
      <c r="B30" s="1519"/>
      <c r="C30" s="1519"/>
      <c r="D30" s="1519"/>
      <c r="E30" s="1519"/>
      <c r="F30" s="1519"/>
      <c r="G30" s="1519"/>
      <c r="H30" s="1519"/>
      <c r="I30" s="1531"/>
      <c r="J30" s="1519"/>
      <c r="K30" s="1519"/>
      <c r="L30" s="1519"/>
      <c r="M30" s="1519"/>
      <c r="N30" s="1519"/>
      <c r="O30" s="1519"/>
      <c r="P30" s="1519"/>
      <c r="Q30" s="1519"/>
      <c r="R30" s="1519"/>
      <c r="S30" s="1519"/>
      <c r="T30" s="1519"/>
      <c r="U30" s="1519"/>
      <c r="V30" s="1519"/>
      <c r="W30" s="1519"/>
      <c r="X30" s="1519"/>
      <c r="Y30" s="1519"/>
      <c r="Z30" s="1532"/>
      <c r="AA30" s="1497"/>
      <c r="AB30" s="1497"/>
      <c r="AC30" s="1497"/>
      <c r="AD30" s="2850"/>
      <c r="AE30" s="2851"/>
      <c r="AF30" s="3346"/>
      <c r="AG30" s="1497"/>
      <c r="AH30" s="1497"/>
      <c r="AI30" s="894"/>
      <c r="AJ30" s="1518"/>
      <c r="AK30" s="1518"/>
      <c r="AL30" s="1518"/>
      <c r="AM30" s="1518"/>
      <c r="AN30" s="1518"/>
      <c r="AO30" s="1518"/>
      <c r="AP30" s="1518"/>
      <c r="AQ30" s="1518"/>
      <c r="AR30" s="1518"/>
      <c r="AS30" s="1518" t="str">
        <f t="shared" si="8"/>
        <v>Agregados combinados MD-12</v>
      </c>
      <c r="AT30" s="894"/>
      <c r="AU30" s="1518"/>
      <c r="AV30" s="1518"/>
      <c r="AW30" s="1518"/>
      <c r="AX30" s="1518"/>
      <c r="AY30" s="1489" t="str">
        <f t="shared" si="5"/>
        <v>Agregados combinados MD-12</v>
      </c>
      <c r="AZ30" s="1490"/>
    </row>
    <row r="31" spans="1:65" s="615" customFormat="1" ht="15" customHeight="1">
      <c r="A31" s="1533"/>
      <c r="B31" s="1534" t="s">
        <v>957</v>
      </c>
      <c r="C31" s="1518"/>
      <c r="D31" s="1518"/>
      <c r="E31" s="1518"/>
      <c r="F31" s="1518"/>
      <c r="G31" s="1518"/>
      <c r="H31" s="1518"/>
      <c r="I31" s="1518"/>
      <c r="J31" s="1518"/>
      <c r="K31" s="1518"/>
      <c r="L31" s="1518"/>
      <c r="M31" s="1518"/>
      <c r="N31" s="1518"/>
      <c r="O31" s="1518"/>
      <c r="P31" s="1518"/>
      <c r="Q31" s="1518"/>
      <c r="R31" s="1518"/>
      <c r="S31" s="1518"/>
      <c r="T31" s="1518"/>
      <c r="U31" s="1518"/>
      <c r="V31" s="1518"/>
      <c r="W31" s="1518"/>
      <c r="X31" s="1518"/>
      <c r="Y31" s="1518"/>
      <c r="Z31" s="1524"/>
      <c r="AA31" s="1518"/>
      <c r="AB31" s="1518"/>
      <c r="AC31" s="1518"/>
      <c r="AD31" s="3341"/>
      <c r="AE31" s="3343"/>
      <c r="AF31" s="3347"/>
      <c r="AG31" s="1518"/>
      <c r="AH31" s="1518"/>
      <c r="AI31" s="894"/>
      <c r="AJ31" s="1518"/>
      <c r="AK31" s="1518"/>
      <c r="AL31" s="1518"/>
      <c r="AM31" s="1518"/>
      <c r="AN31" s="1518"/>
      <c r="AO31" s="1518"/>
      <c r="AP31" s="1518"/>
      <c r="AQ31" s="1518"/>
      <c r="AR31" s="1518"/>
      <c r="AS31" s="1518" t="str">
        <f t="shared" si="8"/>
        <v>Agregados combinados MGCR Tipo 1</v>
      </c>
      <c r="AT31" s="894"/>
      <c r="AU31" s="1518"/>
      <c r="AV31" s="1518"/>
      <c r="AW31" s="1518"/>
      <c r="AX31" s="1518"/>
      <c r="AY31" s="1489" t="str">
        <f t="shared" si="5"/>
        <v>Agregados combinados MGCR Tipo 1</v>
      </c>
      <c r="AZ31" s="1490"/>
    </row>
    <row r="32" spans="1:65" s="615" customFormat="1" ht="15" customHeight="1">
      <c r="A32" s="1537"/>
      <c r="B32" s="3335" t="s">
        <v>958</v>
      </c>
      <c r="C32" s="3335"/>
      <c r="D32" s="3335"/>
      <c r="E32" s="3335"/>
      <c r="F32" s="3335"/>
      <c r="G32" s="3335"/>
      <c r="H32" s="3335"/>
      <c r="I32" s="3335"/>
      <c r="J32" s="3335"/>
      <c r="K32" s="3335"/>
      <c r="L32" s="3335"/>
      <c r="M32" s="3335"/>
      <c r="N32" s="3335"/>
      <c r="O32" s="3335"/>
      <c r="P32" s="3335"/>
      <c r="Q32" s="3335"/>
      <c r="R32" s="3335"/>
      <c r="S32" s="3335"/>
      <c r="T32" s="3335"/>
      <c r="U32" s="3335"/>
      <c r="V32" s="3335"/>
      <c r="W32" s="3335"/>
      <c r="X32" s="3335"/>
      <c r="Y32" s="3335"/>
      <c r="Z32" s="1538"/>
      <c r="AA32" s="1518"/>
      <c r="AB32" s="1518"/>
      <c r="AC32" s="1518"/>
      <c r="AD32" s="1522"/>
      <c r="AE32" s="1522"/>
      <c r="AF32" s="1522"/>
      <c r="AG32" s="1518"/>
      <c r="AH32" s="1518"/>
      <c r="AI32" s="894"/>
      <c r="AJ32" s="1518"/>
      <c r="AK32" s="1518"/>
      <c r="AL32" s="1518"/>
      <c r="AM32" s="1518"/>
      <c r="AN32" s="1518"/>
      <c r="AO32" s="1518"/>
      <c r="AP32" s="1518"/>
      <c r="AQ32" s="1518"/>
      <c r="AR32" s="1518"/>
      <c r="AS32" s="1518" t="str">
        <f>+AJ8</f>
        <v>Ver perfil estratigráfico del suelo INV E-101 y 102-13</v>
      </c>
      <c r="AT32" s="894"/>
      <c r="AU32" s="1518"/>
      <c r="AV32" s="1518"/>
      <c r="AW32" s="1518"/>
      <c r="AX32" s="1518"/>
      <c r="AY32" s="1489" t="str">
        <f t="shared" si="5"/>
        <v>Ver perfil estratigráfico del suelo INV E-101 y 102-13</v>
      </c>
      <c r="AZ32" s="1490"/>
    </row>
    <row r="33" spans="1:52" s="615" customFormat="1" ht="15" customHeight="1">
      <c r="A33" s="1537"/>
      <c r="B33" s="3335"/>
      <c r="C33" s="3335"/>
      <c r="D33" s="3335"/>
      <c r="E33" s="3335"/>
      <c r="F33" s="3335"/>
      <c r="G33" s="3335"/>
      <c r="H33" s="3335"/>
      <c r="I33" s="3335"/>
      <c r="J33" s="3335"/>
      <c r="K33" s="3335"/>
      <c r="L33" s="3335"/>
      <c r="M33" s="3335"/>
      <c r="N33" s="3335"/>
      <c r="O33" s="3335"/>
      <c r="P33" s="3335"/>
      <c r="Q33" s="3335"/>
      <c r="R33" s="3335"/>
      <c r="S33" s="3335"/>
      <c r="T33" s="3335"/>
      <c r="U33" s="3335"/>
      <c r="V33" s="3335"/>
      <c r="W33" s="3335"/>
      <c r="X33" s="3335"/>
      <c r="Y33" s="3335"/>
      <c r="Z33" s="1538"/>
      <c r="AA33" s="1539"/>
      <c r="AB33" s="1539"/>
      <c r="AC33" s="1539"/>
      <c r="AD33" s="3332" t="str">
        <f>+AD6</f>
        <v>Revisó</v>
      </c>
      <c r="AE33" s="3333"/>
      <c r="AF33" s="3334"/>
      <c r="AG33" s="1539"/>
      <c r="AH33" s="1539"/>
      <c r="AI33" s="894"/>
      <c r="AJ33" s="1518"/>
      <c r="AK33" s="1518"/>
      <c r="AL33" s="1518"/>
      <c r="AM33" s="1518"/>
      <c r="AN33" s="1518"/>
      <c r="AO33" s="1518"/>
      <c r="AP33" s="1518"/>
      <c r="AQ33" s="1518"/>
      <c r="AR33" s="1518"/>
      <c r="AS33" s="1518" t="str">
        <f>+AK11</f>
        <v>Capa 1 MD-12 y Capa 2 MGCR-Tipo 1</v>
      </c>
      <c r="AT33" s="894"/>
      <c r="AU33" s="1518"/>
      <c r="AV33" s="1518"/>
      <c r="AW33" s="1518"/>
      <c r="AX33" s="1518"/>
      <c r="AY33" s="1489" t="str">
        <f t="shared" si="5"/>
        <v>Capa 1 MD-12 y Capa 2 MGCR-Tipo 1</v>
      </c>
      <c r="AZ33" s="1490"/>
    </row>
    <row r="34" spans="1:52" s="615" customFormat="1" ht="15" customHeight="1">
      <c r="A34" s="1537"/>
      <c r="B34" s="3335"/>
      <c r="C34" s="3335"/>
      <c r="D34" s="3335"/>
      <c r="E34" s="3335"/>
      <c r="F34" s="3335"/>
      <c r="G34" s="3335"/>
      <c r="H34" s="3335"/>
      <c r="I34" s="3335"/>
      <c r="J34" s="3335"/>
      <c r="K34" s="3335"/>
      <c r="L34" s="3335"/>
      <c r="M34" s="3335"/>
      <c r="N34" s="3335"/>
      <c r="O34" s="3335"/>
      <c r="P34" s="3335"/>
      <c r="Q34" s="3335"/>
      <c r="R34" s="3335"/>
      <c r="S34" s="3335"/>
      <c r="T34" s="3335"/>
      <c r="U34" s="3335"/>
      <c r="V34" s="3335"/>
      <c r="W34" s="3335"/>
      <c r="X34" s="3335"/>
      <c r="Y34" s="3335"/>
      <c r="Z34" s="1538"/>
      <c r="AA34" s="1539"/>
      <c r="AB34" s="1539"/>
      <c r="AC34" s="1539"/>
      <c r="AD34" s="1535" t="s">
        <v>860</v>
      </c>
      <c r="AE34" s="1536" t="s">
        <v>861</v>
      </c>
      <c r="AF34" s="3334"/>
      <c r="AG34" s="1539"/>
      <c r="AH34" s="1539"/>
      <c r="AI34" s="894"/>
      <c r="AJ34" s="1518"/>
      <c r="AK34" s="1518"/>
      <c r="AL34" s="1518"/>
      <c r="AM34" s="1518"/>
      <c r="AN34" s="1518"/>
      <c r="AO34" s="1518"/>
      <c r="AP34" s="1518"/>
      <c r="AQ34" s="1518"/>
      <c r="AR34" s="1518"/>
      <c r="AS34" s="1518" t="str">
        <f>+AK12</f>
        <v>Capa 1 MGCR Tipo 1 y capa 2 MD-12</v>
      </c>
      <c r="AT34" s="894"/>
      <c r="AU34" s="1518"/>
      <c r="AV34" s="1518"/>
      <c r="AW34" s="1518"/>
      <c r="AX34" s="1518"/>
      <c r="AY34" s="1489" t="str">
        <f t="shared" si="5"/>
        <v>Capa 1 MGCR Tipo 1 y capa 2 MD-12</v>
      </c>
      <c r="AZ34" s="1490"/>
    </row>
    <row r="35" spans="1:52" s="615" customFormat="1" ht="15" customHeight="1">
      <c r="A35" s="1537"/>
      <c r="B35" s="3335"/>
      <c r="C35" s="3335"/>
      <c r="D35" s="3335"/>
      <c r="E35" s="3335"/>
      <c r="F35" s="3335"/>
      <c r="G35" s="3335"/>
      <c r="H35" s="3335"/>
      <c r="I35" s="3335"/>
      <c r="J35" s="3335"/>
      <c r="K35" s="3335"/>
      <c r="L35" s="3335"/>
      <c r="M35" s="3335"/>
      <c r="N35" s="3335"/>
      <c r="O35" s="3335"/>
      <c r="P35" s="3335"/>
      <c r="Q35" s="3335"/>
      <c r="R35" s="3335"/>
      <c r="S35" s="3335"/>
      <c r="T35" s="3335"/>
      <c r="U35" s="3335"/>
      <c r="V35" s="3335"/>
      <c r="W35" s="3335"/>
      <c r="X35" s="3335"/>
      <c r="Y35" s="3335"/>
      <c r="Z35" s="1538"/>
      <c r="AA35" s="1539"/>
      <c r="AB35" s="1539"/>
      <c r="AC35" s="1539"/>
      <c r="AD35" s="1513" t="s">
        <v>865</v>
      </c>
      <c r="AE35" s="1532" t="s">
        <v>315</v>
      </c>
      <c r="AF35" s="3334"/>
      <c r="AG35" s="1539"/>
      <c r="AH35" s="1539"/>
      <c r="AI35" s="894"/>
      <c r="AJ35" s="1518"/>
      <c r="AK35" s="1518"/>
      <c r="AL35" s="1518"/>
      <c r="AM35" s="1518"/>
      <c r="AN35" s="1518"/>
      <c r="AO35" s="1518"/>
      <c r="AP35" s="1518"/>
      <c r="AQ35" s="1518"/>
      <c r="AR35" s="1518"/>
      <c r="AS35" s="1518" t="str">
        <f>+AL8</f>
        <v>MD-10</v>
      </c>
      <c r="AT35" s="894"/>
      <c r="AU35" s="1518"/>
      <c r="AV35" s="1518"/>
      <c r="AW35" s="1518"/>
      <c r="AX35" s="1518"/>
      <c r="AY35" s="1489" t="str">
        <f t="shared" si="5"/>
        <v>MD-10</v>
      </c>
      <c r="AZ35" s="1490"/>
    </row>
    <row r="36" spans="1:52" s="615" customFormat="1" ht="15" customHeight="1">
      <c r="A36" s="1537"/>
      <c r="B36" s="3335"/>
      <c r="C36" s="3335"/>
      <c r="D36" s="3335"/>
      <c r="E36" s="3335"/>
      <c r="F36" s="3335"/>
      <c r="G36" s="3335"/>
      <c r="H36" s="3335"/>
      <c r="I36" s="3335"/>
      <c r="J36" s="3335"/>
      <c r="K36" s="3335"/>
      <c r="L36" s="3335"/>
      <c r="M36" s="3335"/>
      <c r="N36" s="3335"/>
      <c r="O36" s="3335"/>
      <c r="P36" s="3335"/>
      <c r="Q36" s="3335"/>
      <c r="R36" s="3335"/>
      <c r="S36" s="3335"/>
      <c r="T36" s="3335"/>
      <c r="U36" s="3335"/>
      <c r="V36" s="3335"/>
      <c r="W36" s="3335"/>
      <c r="X36" s="3335"/>
      <c r="Y36" s="3335"/>
      <c r="Z36" s="1538"/>
      <c r="AA36" s="1539"/>
      <c r="AB36" s="1539"/>
      <c r="AC36" s="1539"/>
      <c r="AD36" s="1513" t="str">
        <f>+AD11</f>
        <v>Karen Flórez Barón</v>
      </c>
      <c r="AE36" s="1532" t="str">
        <f>+AE11</f>
        <v>Auxiliar de Acreditación</v>
      </c>
      <c r="AF36" s="3334"/>
      <c r="AG36" s="1539"/>
      <c r="AH36" s="1539"/>
      <c r="AI36" s="894"/>
      <c r="AJ36" s="1518"/>
      <c r="AK36" s="1518"/>
      <c r="AL36" s="1518"/>
      <c r="AM36" s="1518"/>
      <c r="AN36" s="1518"/>
      <c r="AO36" s="1518"/>
      <c r="AP36" s="1518"/>
      <c r="AQ36" s="1518"/>
      <c r="AR36" s="1518"/>
      <c r="AS36" s="1518" t="str">
        <f t="shared" ref="AS36:AS43" si="9">+AL9</f>
        <v>MD-12</v>
      </c>
      <c r="AT36" s="894"/>
      <c r="AU36" s="1518"/>
      <c r="AV36" s="1518"/>
      <c r="AW36" s="1518"/>
      <c r="AX36" s="1518"/>
      <c r="AY36" s="1489" t="str">
        <f t="shared" si="5"/>
        <v>MD-12</v>
      </c>
      <c r="AZ36" s="1490"/>
    </row>
    <row r="37" spans="1:52" s="615" customFormat="1" ht="15" customHeight="1">
      <c r="A37" s="1537"/>
      <c r="B37" s="3335"/>
      <c r="C37" s="3335"/>
      <c r="D37" s="3335"/>
      <c r="E37" s="3335"/>
      <c r="F37" s="3335"/>
      <c r="G37" s="3335"/>
      <c r="H37" s="3335"/>
      <c r="I37" s="3335"/>
      <c r="J37" s="3335"/>
      <c r="K37" s="3335"/>
      <c r="L37" s="3335"/>
      <c r="M37" s="3335"/>
      <c r="N37" s="3335"/>
      <c r="O37" s="3335"/>
      <c r="P37" s="3335"/>
      <c r="Q37" s="3335"/>
      <c r="R37" s="3335"/>
      <c r="S37" s="3335"/>
      <c r="T37" s="3335"/>
      <c r="U37" s="3335"/>
      <c r="V37" s="3335"/>
      <c r="W37" s="3335"/>
      <c r="X37" s="3335"/>
      <c r="Y37" s="3335"/>
      <c r="Z37" s="1538"/>
      <c r="AA37" s="1539"/>
      <c r="AB37" s="1539"/>
      <c r="AC37" s="1539"/>
      <c r="AD37" s="1513" t="s">
        <v>904</v>
      </c>
      <c r="AE37" s="1532" t="s">
        <v>905</v>
      </c>
      <c r="AF37" s="3334"/>
      <c r="AG37" s="1539"/>
      <c r="AH37" s="1539"/>
      <c r="AI37" s="894"/>
      <c r="AJ37" s="1518"/>
      <c r="AK37" s="1518"/>
      <c r="AL37" s="1518"/>
      <c r="AM37" s="1518"/>
      <c r="AN37" s="1518"/>
      <c r="AO37" s="1518"/>
      <c r="AP37" s="1518"/>
      <c r="AQ37" s="1518"/>
      <c r="AR37" s="1518"/>
      <c r="AS37" s="1518" t="str">
        <f t="shared" si="9"/>
        <v>MGCR Tipo 1</v>
      </c>
      <c r="AT37" s="894"/>
      <c r="AU37" s="1518"/>
      <c r="AV37" s="1518"/>
      <c r="AW37" s="1518"/>
      <c r="AX37" s="1518"/>
      <c r="AY37" s="1489" t="str">
        <f t="shared" si="5"/>
        <v>MGCR Tipo 1</v>
      </c>
      <c r="AZ37" s="1490"/>
    </row>
    <row r="38" spans="1:52" s="615" customFormat="1" ht="15" customHeight="1">
      <c r="A38" s="1542"/>
      <c r="B38" s="1543"/>
      <c r="C38" s="1543"/>
      <c r="D38" s="1543"/>
      <c r="E38" s="1543"/>
      <c r="F38" s="1543"/>
      <c r="G38" s="1543"/>
      <c r="H38" s="1543"/>
      <c r="I38" s="1543"/>
      <c r="J38" s="1543"/>
      <c r="K38" s="1543"/>
      <c r="L38" s="1543"/>
      <c r="M38" s="1543"/>
      <c r="N38" s="1543"/>
      <c r="O38" s="1543"/>
      <c r="P38" s="1543"/>
      <c r="Q38" s="1543"/>
      <c r="R38" s="1543"/>
      <c r="S38" s="1543"/>
      <c r="T38" s="1543"/>
      <c r="U38" s="1543"/>
      <c r="V38" s="1543"/>
      <c r="W38" s="1543"/>
      <c r="X38" s="1543"/>
      <c r="Y38" s="1543"/>
      <c r="Z38" s="1544"/>
      <c r="AA38" s="1539"/>
      <c r="AB38" s="1539"/>
      <c r="AC38" s="1539"/>
      <c r="AD38" s="1540" t="s">
        <v>560</v>
      </c>
      <c r="AE38" s="1541" t="s">
        <v>560</v>
      </c>
      <c r="AF38" s="3334"/>
      <c r="AG38" s="1539"/>
      <c r="AH38" s="1539"/>
      <c r="AI38" s="894"/>
      <c r="AJ38" s="1518"/>
      <c r="AK38" s="1518"/>
      <c r="AL38" s="1518"/>
      <c r="AM38" s="1518"/>
      <c r="AN38" s="1518"/>
      <c r="AO38" s="1518"/>
      <c r="AP38" s="1518"/>
      <c r="AQ38" s="1518"/>
      <c r="AR38" s="1518"/>
      <c r="AS38" s="1518" t="str">
        <f t="shared" si="9"/>
        <v>Pavimento asfaltico reciclado MBR</v>
      </c>
      <c r="AT38" s="894"/>
      <c r="AU38" s="1518"/>
      <c r="AV38" s="1518"/>
      <c r="AW38" s="1518"/>
      <c r="AX38" s="1518"/>
      <c r="AY38" s="1489" t="str">
        <f t="shared" si="5"/>
        <v>Pavimento asfaltico reciclado MBR</v>
      </c>
      <c r="AZ38" s="1490"/>
    </row>
    <row r="39" spans="1:52" s="615" customFormat="1" ht="15" customHeight="1">
      <c r="A39" s="3337" t="s">
        <v>22</v>
      </c>
      <c r="B39" s="3338"/>
      <c r="C39" s="3338"/>
      <c r="D39" s="3338"/>
      <c r="E39" s="3338"/>
      <c r="F39" s="3338"/>
      <c r="G39" s="3338"/>
      <c r="H39" s="3338"/>
      <c r="I39" s="3338"/>
      <c r="J39" s="3338"/>
      <c r="K39" s="3338"/>
      <c r="L39" s="3338"/>
      <c r="M39" s="3338"/>
      <c r="N39" s="3338" t="s">
        <v>23</v>
      </c>
      <c r="O39" s="3338"/>
      <c r="P39" s="3338"/>
      <c r="Q39" s="3338"/>
      <c r="R39" s="3338"/>
      <c r="S39" s="3338"/>
      <c r="T39" s="3338"/>
      <c r="U39" s="3338"/>
      <c r="V39" s="3338"/>
      <c r="W39" s="3338"/>
      <c r="X39" s="3338"/>
      <c r="Y39" s="3338"/>
      <c r="Z39" s="3339"/>
      <c r="AA39" s="1545"/>
      <c r="AB39" s="1545"/>
      <c r="AC39" s="1545"/>
      <c r="AD39" s="3332" t="str">
        <f>+AD21</f>
        <v>Aprobó</v>
      </c>
      <c r="AE39" s="3333"/>
      <c r="AF39" s="3334"/>
      <c r="AG39" s="1545"/>
      <c r="AH39" s="1545"/>
      <c r="AI39" s="894"/>
      <c r="AJ39" s="1518"/>
      <c r="AK39" s="1518"/>
      <c r="AL39" s="1518"/>
      <c r="AM39" s="1518"/>
      <c r="AN39" s="1518"/>
      <c r="AO39" s="1518"/>
      <c r="AP39" s="1518"/>
      <c r="AQ39" s="1518"/>
      <c r="AR39" s="1518"/>
      <c r="AS39" s="1518" t="str">
        <f t="shared" si="9"/>
        <v>Fresado</v>
      </c>
      <c r="AT39" s="894"/>
      <c r="AU39" s="1518"/>
      <c r="AV39" s="1518"/>
      <c r="AW39" s="1518"/>
      <c r="AX39" s="1518"/>
      <c r="AY39" s="1489" t="str">
        <f t="shared" si="5"/>
        <v>Fresado</v>
      </c>
      <c r="AZ39" s="1490"/>
    </row>
    <row r="40" spans="1:52" s="615" customFormat="1" ht="15" customHeight="1">
      <c r="A40" s="1546"/>
      <c r="B40" s="1547"/>
      <c r="C40" s="3325"/>
      <c r="D40" s="3325"/>
      <c r="E40" s="3325"/>
      <c r="F40" s="3325"/>
      <c r="G40" s="3325"/>
      <c r="H40" s="3325"/>
      <c r="I40" s="3325"/>
      <c r="J40" s="3325"/>
      <c r="K40" s="3325"/>
      <c r="L40" s="1547"/>
      <c r="M40" s="1547"/>
      <c r="N40" s="1518"/>
      <c r="O40" s="1518"/>
      <c r="P40" s="3325"/>
      <c r="Q40" s="3325"/>
      <c r="R40" s="3325"/>
      <c r="S40" s="3325"/>
      <c r="T40" s="3325"/>
      <c r="U40" s="3325"/>
      <c r="V40" s="3325"/>
      <c r="W40" s="3325"/>
      <c r="X40" s="3325"/>
      <c r="Y40" s="1518"/>
      <c r="Z40" s="1524"/>
      <c r="AA40" s="1518"/>
      <c r="AB40" s="1449"/>
      <c r="AC40" s="1449"/>
      <c r="AD40" s="1513" t="str">
        <f>+AD23</f>
        <v>Cindy Nathaly Sastoque G</v>
      </c>
      <c r="AE40" s="1532" t="str">
        <f>+AE23</f>
        <v>Coordinador Técnico</v>
      </c>
      <c r="AF40" s="3334"/>
      <c r="AG40" s="1449"/>
      <c r="AH40" s="1449"/>
      <c r="AI40" s="894"/>
      <c r="AJ40" s="1518"/>
      <c r="AK40" s="1518"/>
      <c r="AL40" s="1518"/>
      <c r="AM40" s="1518"/>
      <c r="AN40" s="1518"/>
      <c r="AO40" s="1518"/>
      <c r="AP40" s="1518"/>
      <c r="AQ40" s="1518"/>
      <c r="AR40" s="1518"/>
      <c r="AS40" s="1518" t="str">
        <f t="shared" si="9"/>
        <v>Fresado estabilizado con emulsión y cemento</v>
      </c>
      <c r="AT40" s="894"/>
      <c r="AU40" s="1518"/>
      <c r="AV40" s="1518"/>
      <c r="AW40" s="1518"/>
      <c r="AX40" s="1518"/>
      <c r="AY40" s="1489" t="str">
        <f t="shared" si="5"/>
        <v>Fresado estabilizado con emulsión y cemento</v>
      </c>
      <c r="AZ40" s="1490"/>
    </row>
    <row r="41" spans="1:52" s="798" customFormat="1" ht="15" customHeight="1">
      <c r="A41" s="1546"/>
      <c r="B41" s="1547"/>
      <c r="C41" s="3325"/>
      <c r="D41" s="3325"/>
      <c r="E41" s="3325"/>
      <c r="F41" s="3325"/>
      <c r="G41" s="3325"/>
      <c r="H41" s="3325"/>
      <c r="I41" s="3325"/>
      <c r="J41" s="3325"/>
      <c r="K41" s="3325"/>
      <c r="L41" s="1547"/>
      <c r="M41" s="1547"/>
      <c r="N41" s="1518"/>
      <c r="O41" s="1518"/>
      <c r="P41" s="3325"/>
      <c r="Q41" s="3325"/>
      <c r="R41" s="3325"/>
      <c r="S41" s="3325"/>
      <c r="T41" s="3325"/>
      <c r="U41" s="3325"/>
      <c r="V41" s="3325"/>
      <c r="W41" s="3325"/>
      <c r="X41" s="3325"/>
      <c r="Y41" s="1518"/>
      <c r="Z41" s="1524"/>
      <c r="AA41" s="1518"/>
      <c r="AB41" s="1449"/>
      <c r="AC41" s="1449"/>
      <c r="AD41" s="1513" t="s">
        <v>953</v>
      </c>
      <c r="AE41" s="1532" t="str">
        <f>+AE26</f>
        <v>Líder Operativo</v>
      </c>
      <c r="AF41" s="1518"/>
      <c r="AG41" s="1449"/>
      <c r="AH41" s="1449"/>
      <c r="AI41" s="1508"/>
      <c r="AJ41" s="1296"/>
      <c r="AK41" s="1296"/>
      <c r="AL41" s="1296"/>
      <c r="AM41" s="1296"/>
      <c r="AN41" s="1296"/>
      <c r="AO41" s="1296"/>
      <c r="AP41" s="1296"/>
      <c r="AQ41" s="1296"/>
      <c r="AR41" s="1296"/>
      <c r="AS41" s="1518" t="str">
        <f t="shared" si="9"/>
        <v>MR-43</v>
      </c>
      <c r="AT41" s="894"/>
      <c r="AU41" s="1518"/>
      <c r="AV41" s="1518"/>
      <c r="AW41" s="1518"/>
      <c r="AX41" s="1518"/>
      <c r="AY41" s="1489" t="str">
        <f t="shared" si="5"/>
        <v>MR-43</v>
      </c>
      <c r="AZ41" s="1490"/>
    </row>
    <row r="42" spans="1:52" s="798" customFormat="1" ht="15" customHeight="1">
      <c r="A42" s="1546"/>
      <c r="B42" s="1547"/>
      <c r="C42" s="3326"/>
      <c r="D42" s="3326"/>
      <c r="E42" s="3326"/>
      <c r="F42" s="3326"/>
      <c r="G42" s="3326"/>
      <c r="H42" s="3326"/>
      <c r="I42" s="3326"/>
      <c r="J42" s="3326"/>
      <c r="K42" s="3326"/>
      <c r="L42" s="1547"/>
      <c r="M42" s="1547"/>
      <c r="N42" s="1547"/>
      <c r="O42" s="1547"/>
      <c r="P42" s="3326"/>
      <c r="Q42" s="3326"/>
      <c r="R42" s="3326"/>
      <c r="S42" s="3326"/>
      <c r="T42" s="3326"/>
      <c r="U42" s="3326"/>
      <c r="V42" s="3326"/>
      <c r="W42" s="3326"/>
      <c r="X42" s="3326"/>
      <c r="Y42" s="1547"/>
      <c r="Z42" s="1548"/>
      <c r="AA42" s="1547"/>
      <c r="AB42" s="1547"/>
      <c r="AC42" s="1547"/>
      <c r="AD42" s="1540" t="s">
        <v>560</v>
      </c>
      <c r="AE42" s="1541" t="s">
        <v>560</v>
      </c>
      <c r="AF42" s="1539"/>
      <c r="AG42" s="1547"/>
      <c r="AH42" s="1547"/>
      <c r="AI42" s="1508"/>
      <c r="AJ42" s="1296"/>
      <c r="AK42" s="1296"/>
      <c r="AL42" s="1296"/>
      <c r="AM42" s="1296"/>
      <c r="AN42" s="1296"/>
      <c r="AO42" s="1296"/>
      <c r="AP42" s="1296"/>
      <c r="AQ42" s="1296"/>
      <c r="AR42" s="1296"/>
      <c r="AS42" s="1518" t="str">
        <f t="shared" si="9"/>
        <v>3000 psi</v>
      </c>
      <c r="AT42" s="894"/>
      <c r="AU42" s="1518"/>
      <c r="AV42" s="1518"/>
      <c r="AW42" s="1518"/>
      <c r="AX42" s="1518"/>
      <c r="AY42" s="1489" t="str">
        <f t="shared" si="5"/>
        <v>3000 psi</v>
      </c>
      <c r="AZ42" s="1490"/>
    </row>
    <row r="43" spans="1:52" s="798" customFormat="1" ht="15" customHeight="1">
      <c r="A43" s="3327" t="s">
        <v>560</v>
      </c>
      <c r="B43" s="2198"/>
      <c r="C43" s="2198"/>
      <c r="D43" s="2198"/>
      <c r="E43" s="2198"/>
      <c r="F43" s="2198"/>
      <c r="G43" s="2198"/>
      <c r="H43" s="2198"/>
      <c r="I43" s="2198"/>
      <c r="J43" s="2198"/>
      <c r="K43" s="2198"/>
      <c r="L43" s="2198"/>
      <c r="M43" s="2198"/>
      <c r="N43" s="2198" t="s">
        <v>560</v>
      </c>
      <c r="O43" s="2198"/>
      <c r="P43" s="2198"/>
      <c r="Q43" s="2198"/>
      <c r="R43" s="2198"/>
      <c r="S43" s="2198"/>
      <c r="T43" s="2198"/>
      <c r="U43" s="2198"/>
      <c r="V43" s="2198"/>
      <c r="W43" s="2198"/>
      <c r="X43" s="2198"/>
      <c r="Y43" s="2198"/>
      <c r="Z43" s="3328"/>
      <c r="AA43" s="1450"/>
      <c r="AB43" s="1549"/>
      <c r="AC43" s="1549"/>
      <c r="AD43" s="1539"/>
      <c r="AE43" s="1539"/>
      <c r="AF43" s="1539"/>
      <c r="AG43" s="1549"/>
      <c r="AH43" s="1549"/>
      <c r="AI43" s="1508"/>
      <c r="AJ43" s="1296"/>
      <c r="AK43" s="1296"/>
      <c r="AL43" s="1296"/>
      <c r="AM43" s="1296"/>
      <c r="AN43" s="1296"/>
      <c r="AO43" s="1296"/>
      <c r="AP43" s="1296"/>
      <c r="AQ43" s="1296"/>
      <c r="AR43" s="1296"/>
      <c r="AS43" s="1518" t="str">
        <f t="shared" si="9"/>
        <v>2500 psi</v>
      </c>
      <c r="AT43" s="894"/>
      <c r="AU43" s="1518"/>
      <c r="AV43" s="1518"/>
      <c r="AW43" s="1518"/>
      <c r="AX43" s="1518"/>
      <c r="AY43" s="1489" t="str">
        <f t="shared" si="5"/>
        <v>2500 psi</v>
      </c>
      <c r="AZ43" s="1490"/>
    </row>
    <row r="44" spans="1:52" s="798" customFormat="1" ht="15" customHeight="1">
      <c r="A44" s="3329" t="str">
        <f>IF(A43="","",VLOOKUP(A43,AD35:AE38,2,0))</f>
        <v>--</v>
      </c>
      <c r="B44" s="3330"/>
      <c r="C44" s="3330"/>
      <c r="D44" s="3330"/>
      <c r="E44" s="3330"/>
      <c r="F44" s="3330"/>
      <c r="G44" s="3330"/>
      <c r="H44" s="3330"/>
      <c r="I44" s="3330"/>
      <c r="J44" s="3330"/>
      <c r="K44" s="3330"/>
      <c r="L44" s="3330"/>
      <c r="M44" s="3330"/>
      <c r="N44" s="3330" t="str">
        <f>IF(N43="","",VLOOKUP(N43,AD40:AE42,2,0))</f>
        <v>--</v>
      </c>
      <c r="O44" s="3330"/>
      <c r="P44" s="3330"/>
      <c r="Q44" s="3330"/>
      <c r="R44" s="3330"/>
      <c r="S44" s="3330"/>
      <c r="T44" s="3330"/>
      <c r="U44" s="3330"/>
      <c r="V44" s="3330"/>
      <c r="W44" s="3330"/>
      <c r="X44" s="3330"/>
      <c r="Y44" s="3330"/>
      <c r="Z44" s="3331"/>
      <c r="AA44" s="1550"/>
      <c r="AB44" s="1551"/>
      <c r="AC44" s="1551"/>
      <c r="AD44" s="1539"/>
      <c r="AE44" s="1539"/>
      <c r="AF44" s="1539"/>
      <c r="AG44" s="1551"/>
      <c r="AH44" s="1551"/>
      <c r="AI44" s="1508"/>
      <c r="AJ44" s="1296"/>
      <c r="AK44" s="1296"/>
      <c r="AL44" s="1296"/>
      <c r="AM44" s="1296"/>
      <c r="AN44" s="1296"/>
      <c r="AO44" s="1296"/>
      <c r="AP44" s="1296"/>
      <c r="AQ44" s="1296"/>
      <c r="AR44" s="1296"/>
      <c r="AS44" s="1296" t="str">
        <f>+AM8</f>
        <v>Cemento asfaltico CA-14</v>
      </c>
      <c r="AT44" s="1508"/>
      <c r="AU44" s="1296"/>
      <c r="AV44" s="1296"/>
      <c r="AW44" s="1296"/>
      <c r="AX44" s="1296"/>
      <c r="AY44" s="1489" t="str">
        <f t="shared" si="5"/>
        <v>Cemento asfaltico CA-14</v>
      </c>
      <c r="AZ44" s="1490"/>
    </row>
    <row r="45" spans="1:52" s="799" customFormat="1" ht="15" customHeight="1" thickBot="1">
      <c r="A45" s="1552"/>
      <c r="B45" s="1447"/>
      <c r="C45" s="1447"/>
      <c r="D45" s="1447"/>
      <c r="E45" s="1447"/>
      <c r="F45" s="1447"/>
      <c r="G45" s="1447"/>
      <c r="H45" s="1447"/>
      <c r="I45" s="1447"/>
      <c r="J45" s="1447"/>
      <c r="K45" s="1447"/>
      <c r="L45" s="1447"/>
      <c r="M45" s="1447"/>
      <c r="N45" s="1447"/>
      <c r="O45" s="1447"/>
      <c r="P45" s="1447"/>
      <c r="Q45" s="1447"/>
      <c r="R45" s="1447"/>
      <c r="S45" s="1447"/>
      <c r="T45" s="1447"/>
      <c r="U45" s="1447"/>
      <c r="V45" s="1447"/>
      <c r="W45" s="1447"/>
      <c r="X45" s="1447"/>
      <c r="Y45" s="1447"/>
      <c r="Z45" s="1448"/>
      <c r="AA45" s="1550"/>
      <c r="AB45" s="1550"/>
      <c r="AC45" s="1550"/>
      <c r="AD45" s="1539"/>
      <c r="AE45" s="1539"/>
      <c r="AF45" s="1539"/>
      <c r="AG45" s="1550"/>
      <c r="AH45" s="1550"/>
      <c r="AI45" s="1553"/>
      <c r="AJ45" s="1554"/>
      <c r="AK45" s="1554"/>
      <c r="AL45" s="1554"/>
      <c r="AM45" s="1554"/>
      <c r="AN45" s="1554"/>
      <c r="AO45" s="1554"/>
      <c r="AP45" s="1554"/>
      <c r="AQ45" s="1554"/>
      <c r="AR45" s="1554"/>
      <c r="AS45" s="1296" t="str">
        <f>+AM9</f>
        <v>Cemento asfaltico modificado con GCR</v>
      </c>
      <c r="AT45" s="1508"/>
      <c r="AU45" s="1296"/>
      <c r="AV45" s="1296"/>
      <c r="AW45" s="1296"/>
      <c r="AX45" s="1296"/>
      <c r="AY45" s="1489" t="str">
        <f t="shared" si="5"/>
        <v>Cemento asfaltico modificado con GCR</v>
      </c>
      <c r="AZ45" s="1490"/>
    </row>
    <row r="46" spans="1:52" s="799" customFormat="1" ht="15" customHeight="1" thickTop="1">
      <c r="A46" s="3323" t="s">
        <v>959</v>
      </c>
      <c r="B46" s="3323"/>
      <c r="C46" s="3323"/>
      <c r="D46" s="3323"/>
      <c r="E46" s="3323"/>
      <c r="F46" s="3323"/>
      <c r="G46" s="3323"/>
      <c r="H46" s="3323"/>
      <c r="I46" s="3323"/>
      <c r="J46" s="3323"/>
      <c r="K46" s="3323"/>
      <c r="L46" s="3323"/>
      <c r="M46" s="3323"/>
      <c r="N46" s="3323"/>
      <c r="O46" s="3323"/>
      <c r="P46" s="3323"/>
      <c r="Q46" s="3323"/>
      <c r="R46" s="3323"/>
      <c r="S46" s="3323"/>
      <c r="T46" s="3323"/>
      <c r="U46" s="3323"/>
      <c r="V46" s="3323"/>
      <c r="W46" s="3323"/>
      <c r="X46" s="3323"/>
      <c r="Y46" s="3323"/>
      <c r="Z46" s="3323"/>
      <c r="AA46" s="1555"/>
      <c r="AB46" s="1555"/>
      <c r="AC46" s="1555"/>
      <c r="AD46" s="1539"/>
      <c r="AE46" s="1539"/>
      <c r="AF46" s="1539"/>
      <c r="AG46" s="1555"/>
      <c r="AH46" s="1555"/>
      <c r="AI46" s="1553"/>
      <c r="AJ46" s="1554"/>
      <c r="AK46" s="1554"/>
      <c r="AL46" s="1554"/>
      <c r="AM46" s="1554"/>
      <c r="AN46" s="1554"/>
      <c r="AO46" s="1554"/>
      <c r="AP46" s="1554"/>
      <c r="AQ46" s="1554"/>
      <c r="AR46" s="1554"/>
      <c r="AS46" s="1296" t="str">
        <f>+AM10</f>
        <v>Asfalto modificado para sello de fisuras</v>
      </c>
      <c r="AT46" s="1508"/>
      <c r="AU46" s="1296"/>
      <c r="AV46" s="1296"/>
      <c r="AW46" s="1296"/>
      <c r="AX46" s="1296"/>
      <c r="AY46" s="1489" t="str">
        <f t="shared" si="5"/>
        <v>Asfalto modificado para sello de fisuras</v>
      </c>
      <c r="AZ46" s="1490"/>
    </row>
    <row r="47" spans="1:52" s="798" customFormat="1" ht="15" customHeight="1">
      <c r="A47" s="3324"/>
      <c r="B47" s="3324"/>
      <c r="C47" s="3324"/>
      <c r="D47" s="3324"/>
      <c r="E47" s="3324"/>
      <c r="F47" s="3324"/>
      <c r="G47" s="3324"/>
      <c r="H47" s="3324"/>
      <c r="I47" s="3324"/>
      <c r="J47" s="3324"/>
      <c r="K47" s="3324"/>
      <c r="L47" s="3324"/>
      <c r="M47" s="3324"/>
      <c r="N47" s="3324"/>
      <c r="O47" s="3324"/>
      <c r="P47" s="3324"/>
      <c r="Q47" s="3324"/>
      <c r="R47" s="3324"/>
      <c r="S47" s="3324"/>
      <c r="T47" s="3324"/>
      <c r="U47" s="3324"/>
      <c r="V47" s="3324"/>
      <c r="W47" s="3324"/>
      <c r="X47" s="3324"/>
      <c r="Y47" s="3324"/>
      <c r="Z47" s="3324"/>
      <c r="AA47" s="1555"/>
      <c r="AB47" s="1555"/>
      <c r="AC47" s="1555"/>
      <c r="AD47" s="1539"/>
      <c r="AE47" s="1539"/>
      <c r="AF47" s="1539"/>
      <c r="AG47" s="1555"/>
      <c r="AH47" s="1555"/>
      <c r="AI47" s="1508"/>
      <c r="AJ47" s="1296"/>
      <c r="AK47" s="1296"/>
      <c r="AL47" s="1296"/>
      <c r="AM47" s="1296"/>
      <c r="AN47" s="1296"/>
      <c r="AO47" s="1296"/>
      <c r="AP47" s="1296"/>
      <c r="AQ47" s="1296"/>
      <c r="AR47" s="1296"/>
      <c r="AS47" s="1296" t="str">
        <f>+AN8</f>
        <v>Emulsión asfaltica CRL-1 (60-100)</v>
      </c>
      <c r="AT47" s="1508"/>
      <c r="AU47" s="1296"/>
      <c r="AV47" s="1296"/>
      <c r="AW47" s="1296"/>
      <c r="AX47" s="1296"/>
      <c r="AY47" s="1489" t="str">
        <f t="shared" si="5"/>
        <v>Emulsión asfaltica CRL-1 (60-100)</v>
      </c>
      <c r="AZ47" s="1490"/>
    </row>
    <row r="48" spans="1:52" s="798" customFormat="1" ht="15" customHeight="1">
      <c r="A48" s="3324"/>
      <c r="B48" s="3324"/>
      <c r="C48" s="3324"/>
      <c r="D48" s="3324"/>
      <c r="E48" s="3324"/>
      <c r="F48" s="3324"/>
      <c r="G48" s="3324"/>
      <c r="H48" s="3324"/>
      <c r="I48" s="3324"/>
      <c r="J48" s="3324"/>
      <c r="K48" s="3324"/>
      <c r="L48" s="3324"/>
      <c r="M48" s="3324"/>
      <c r="N48" s="3324"/>
      <c r="O48" s="3324"/>
      <c r="P48" s="3324"/>
      <c r="Q48" s="3324"/>
      <c r="R48" s="3324"/>
      <c r="S48" s="3324"/>
      <c r="T48" s="3324"/>
      <c r="U48" s="3324"/>
      <c r="V48" s="3324"/>
      <c r="W48" s="3324"/>
      <c r="X48" s="3324"/>
      <c r="Y48" s="3324"/>
      <c r="Z48" s="3324"/>
      <c r="AA48" s="1555"/>
      <c r="AB48" s="1555"/>
      <c r="AC48" s="1555"/>
      <c r="AD48" s="1539"/>
      <c r="AE48" s="1539"/>
      <c r="AF48" s="1545"/>
      <c r="AG48" s="1555"/>
      <c r="AH48" s="1555"/>
      <c r="AI48" s="1508"/>
      <c r="AJ48" s="1296"/>
      <c r="AK48" s="1296"/>
      <c r="AL48" s="1296"/>
      <c r="AM48" s="1296"/>
      <c r="AN48" s="1296"/>
      <c r="AO48" s="1296"/>
      <c r="AP48" s="1296"/>
      <c r="AQ48" s="1296"/>
      <c r="AR48" s="1296"/>
      <c r="AS48" s="1296" t="str">
        <f>+AN9</f>
        <v>Emulsión asfaltica CRL-1 (100-250)</v>
      </c>
      <c r="AT48" s="1508"/>
      <c r="AU48" s="1296"/>
      <c r="AV48" s="1296"/>
      <c r="AW48" s="1296"/>
      <c r="AX48" s="1296"/>
      <c r="AY48" s="1489" t="str">
        <f t="shared" si="5"/>
        <v>Emulsión asfaltica CRL-1 (100-250)</v>
      </c>
      <c r="AZ48" s="1490"/>
    </row>
    <row r="49" spans="30:52" s="798" customFormat="1" ht="27.95" customHeight="1">
      <c r="AD49" s="1545"/>
      <c r="AE49" s="1545"/>
      <c r="AF49" s="1449"/>
      <c r="AI49" s="1508"/>
      <c r="AJ49" s="1296"/>
      <c r="AK49" s="1296"/>
      <c r="AL49" s="1296"/>
      <c r="AM49" s="1296"/>
      <c r="AN49" s="1296"/>
      <c r="AO49" s="1296"/>
      <c r="AP49" s="1296"/>
      <c r="AQ49" s="1296"/>
      <c r="AR49" s="1296"/>
      <c r="AS49" s="1296" t="str">
        <f>+AN10</f>
        <v>Emulsión asfaltica CRR-1</v>
      </c>
      <c r="AT49" s="1508"/>
      <c r="AU49" s="1296"/>
      <c r="AV49" s="1296"/>
      <c r="AW49" s="1296"/>
      <c r="AX49" s="1296"/>
      <c r="AY49" s="1489" t="str">
        <f t="shared" si="5"/>
        <v>Emulsión asfaltica CRR-1</v>
      </c>
      <c r="AZ49" s="1490"/>
    </row>
    <row r="50" spans="30:52">
      <c r="AD50" s="1449"/>
      <c r="AE50" s="1449"/>
      <c r="AF50" s="1449"/>
      <c r="AI50" s="1499"/>
      <c r="AJ50" s="618"/>
      <c r="AK50" s="618"/>
      <c r="AL50" s="618"/>
      <c r="AM50" s="618"/>
      <c r="AN50" s="618"/>
      <c r="AO50" s="618"/>
      <c r="AP50" s="618"/>
      <c r="AQ50" s="618"/>
      <c r="AR50" s="618"/>
      <c r="AS50" s="618"/>
      <c r="AT50" s="1499"/>
      <c r="AU50" s="618"/>
      <c r="AV50" s="618"/>
      <c r="AW50" s="618"/>
      <c r="AX50" s="618"/>
      <c r="AY50" s="618"/>
      <c r="AZ50" s="1556"/>
    </row>
    <row r="51" spans="30:52">
      <c r="AD51" s="1449"/>
      <c r="AE51" s="1449"/>
      <c r="AF51" s="1547"/>
      <c r="AI51" s="1499"/>
      <c r="AJ51" s="618"/>
      <c r="AK51" s="618"/>
      <c r="AL51" s="618"/>
      <c r="AM51" s="618"/>
      <c r="AN51" s="618"/>
      <c r="AO51" s="618"/>
      <c r="AP51" s="618"/>
      <c r="AQ51" s="618"/>
      <c r="AR51" s="618"/>
      <c r="AS51" s="618"/>
      <c r="AT51" s="1499"/>
      <c r="AU51" s="618"/>
      <c r="AV51" s="618"/>
      <c r="AW51" s="618"/>
      <c r="AX51" s="618"/>
      <c r="AY51" s="618"/>
      <c r="AZ51" s="1556"/>
    </row>
    <row r="52" spans="30:52">
      <c r="AD52" s="1547"/>
      <c r="AE52" s="1547"/>
      <c r="AF52" s="1549"/>
      <c r="AI52" s="1557"/>
      <c r="AJ52" s="1558"/>
      <c r="AK52" s="1558"/>
      <c r="AL52" s="1558"/>
      <c r="AM52" s="1558"/>
      <c r="AN52" s="1558"/>
      <c r="AO52" s="1558"/>
      <c r="AP52" s="1558"/>
      <c r="AQ52" s="1558"/>
      <c r="AR52" s="1558"/>
      <c r="AS52" s="1558"/>
      <c r="AT52" s="1557"/>
      <c r="AU52" s="1558"/>
      <c r="AV52" s="1558"/>
      <c r="AW52" s="1558"/>
      <c r="AX52" s="1558"/>
      <c r="AY52" s="1558"/>
      <c r="AZ52" s="1559"/>
    </row>
    <row r="53" spans="30:52">
      <c r="AD53" s="1549"/>
      <c r="AE53" s="1549"/>
      <c r="AF53" s="1551"/>
    </row>
    <row r="54" spans="30:52">
      <c r="AD54" s="1551"/>
      <c r="AE54" s="1551"/>
      <c r="AF54" s="1550"/>
    </row>
    <row r="55" spans="30:52">
      <c r="AD55" s="1550"/>
      <c r="AE55" s="1550"/>
      <c r="AF55" s="1555"/>
    </row>
    <row r="56" spans="30:52">
      <c r="AD56" s="1555"/>
      <c r="AE56" s="1555"/>
      <c r="AF56" s="1555"/>
    </row>
    <row r="57" spans="30:52">
      <c r="AD57" s="1555"/>
      <c r="AE57" s="1555"/>
      <c r="AF57" s="1555"/>
    </row>
    <row r="58" spans="30:52">
      <c r="AD58" s="1555"/>
      <c r="AE58" s="1555"/>
      <c r="AF58" s="798"/>
    </row>
    <row r="59" spans="30:52">
      <c r="AD59" s="798"/>
      <c r="AE59" s="798"/>
    </row>
  </sheetData>
  <sheetProtection algorithmName="SHA-512" hashValue="DJQfrViEa/tqL3tuj6e4FKEPCxRGoCoirGAcNnb055vPeKYj87RvA7+D5gm6BzHwzuB2YUKCzSEDT7LJrLgKUg==" saltValue="R2YpuYoglIP0yow1JkntEQ==" spinCount="100000" sheet="1" objects="1" scenarios="1" formatCells="0" formatColumns="0" formatRows="0"/>
  <mergeCells count="82">
    <mergeCell ref="AW3:AW6"/>
    <mergeCell ref="A1:D5"/>
    <mergeCell ref="E1:Z3"/>
    <mergeCell ref="AT3:AT6"/>
    <mergeCell ref="AU3:AU6"/>
    <mergeCell ref="AV3:AV6"/>
    <mergeCell ref="BB6:BM6"/>
    <mergeCell ref="T7:Y7"/>
    <mergeCell ref="V8:Y8"/>
    <mergeCell ref="AD8:AD10"/>
    <mergeCell ref="AE8:AE10"/>
    <mergeCell ref="AF8:AF10"/>
    <mergeCell ref="B9:Y9"/>
    <mergeCell ref="G10:Z10"/>
    <mergeCell ref="AX3:AX6"/>
    <mergeCell ref="AY3:AY6"/>
    <mergeCell ref="AZ3:AZ6"/>
    <mergeCell ref="E4:T4"/>
    <mergeCell ref="U4:Z4"/>
    <mergeCell ref="E5:Z5"/>
    <mergeCell ref="AD6:AF6"/>
    <mergeCell ref="AI6:AS6"/>
    <mergeCell ref="AF17:AF19"/>
    <mergeCell ref="B16:H16"/>
    <mergeCell ref="I16:Y16"/>
    <mergeCell ref="B11:H11"/>
    <mergeCell ref="I11:Y11"/>
    <mergeCell ref="AD14:AD16"/>
    <mergeCell ref="AE14:AE16"/>
    <mergeCell ref="AF14:AF16"/>
    <mergeCell ref="B12:H12"/>
    <mergeCell ref="I12:Y13"/>
    <mergeCell ref="AD11:AD13"/>
    <mergeCell ref="AE11:AE13"/>
    <mergeCell ref="AF11:AF13"/>
    <mergeCell ref="B19:H19"/>
    <mergeCell ref="I19:Y19"/>
    <mergeCell ref="B14:Y14"/>
    <mergeCell ref="I25:Y25"/>
    <mergeCell ref="AD17:AD19"/>
    <mergeCell ref="AE17:AE19"/>
    <mergeCell ref="B17:H17"/>
    <mergeCell ref="I17:Y17"/>
    <mergeCell ref="B18:H18"/>
    <mergeCell ref="I18:Y18"/>
    <mergeCell ref="AD21:AF21"/>
    <mergeCell ref="B23:H23"/>
    <mergeCell ref="I23:Y23"/>
    <mergeCell ref="B24:H24"/>
    <mergeCell ref="I24:Y24"/>
    <mergeCell ref="B20:H20"/>
    <mergeCell ref="I20:Y20"/>
    <mergeCell ref="AF29:AF31"/>
    <mergeCell ref="I27:Y27"/>
    <mergeCell ref="I28:Y28"/>
    <mergeCell ref="AF26:AF28"/>
    <mergeCell ref="AD26:AD28"/>
    <mergeCell ref="AE26:AE28"/>
    <mergeCell ref="AD23:AD25"/>
    <mergeCell ref="AE23:AE25"/>
    <mergeCell ref="AF23:AF25"/>
    <mergeCell ref="B21:H21"/>
    <mergeCell ref="I21:Y21"/>
    <mergeCell ref="B22:H22"/>
    <mergeCell ref="I22:J22"/>
    <mergeCell ref="N22:O22"/>
    <mergeCell ref="AD33:AE33"/>
    <mergeCell ref="AF33:AF40"/>
    <mergeCell ref="B32:Y37"/>
    <mergeCell ref="AD39:AE39"/>
    <mergeCell ref="I29:Y29"/>
    <mergeCell ref="A39:M39"/>
    <mergeCell ref="N39:Z39"/>
    <mergeCell ref="AD29:AD31"/>
    <mergeCell ref="AE29:AE31"/>
    <mergeCell ref="A46:Z48"/>
    <mergeCell ref="C40:K42"/>
    <mergeCell ref="P40:X42"/>
    <mergeCell ref="A43:M43"/>
    <mergeCell ref="N43:Z43"/>
    <mergeCell ref="A44:M44"/>
    <mergeCell ref="N44:Z44"/>
  </mergeCells>
  <conditionalFormatting sqref="I28">
    <cfRule type="cellIs" dxfId="1" priority="2" operator="lessThan">
      <formula>$I$27</formula>
    </cfRule>
  </conditionalFormatting>
  <conditionalFormatting sqref="AB8">
    <cfRule type="cellIs" dxfId="0" priority="1" operator="greaterThan">
      <formula>$AB$10</formula>
    </cfRule>
  </conditionalFormatting>
  <dataValidations count="7">
    <dataValidation type="list" allowBlank="1" showInputMessage="1" showErrorMessage="1" sqref="AA7">
      <formula1>$AH$7:$AH$16</formula1>
    </dataValidation>
    <dataValidation type="list" allowBlank="1" showInputMessage="1" showErrorMessage="1" sqref="I25:Y25">
      <formula1>$AC$7:$AC$10</formula1>
    </dataValidation>
    <dataValidation type="list" allowBlank="1" showInputMessage="1" showErrorMessage="1" sqref="N43:Z43">
      <formula1>$AD$40:$AD$42</formula1>
    </dataValidation>
    <dataValidation type="list" allowBlank="1" showInputMessage="1" showErrorMessage="1" sqref="AA43">
      <formula1>$AD$23:$AD$29</formula1>
    </dataValidation>
    <dataValidation type="list" allowBlank="1" showInputMessage="1" showErrorMessage="1" sqref="I11:Y11">
      <formula1>$AR$8:$AR$11</formula1>
    </dataValidation>
    <dataValidation type="list" allowBlank="1" showInputMessage="1" showErrorMessage="1" sqref="I19:Y19">
      <formula1>$AB$16:$AB$19</formula1>
    </dataValidation>
    <dataValidation type="list" allowBlank="1" showInputMessage="1" showErrorMessage="1" sqref="A43:M43">
      <formula1>$AD$35:$AD$38</formula1>
    </dataValidation>
  </dataValidations>
  <printOptions horizontalCentered="1"/>
  <pageMargins left="0.59055118110236227" right="0.39370078740157483" top="0.39370078740157483" bottom="0.59055118110236227" header="0" footer="0.19685039370078741"/>
  <pageSetup orientation="portrait" r:id="rId1"/>
  <headerFooter scaleWithDoc="0">
    <oddFooter xml:space="preserve">&amp;L&amp;"Arial,Normal"&amp;6Calle 26 No. 57-41 Torre 8 Piso 8 CEMSA - CP: 1113111            
Pbx: 3779555  - Información: Línea 195     
www.umv.gov.co111311&amp;C&amp;"Arial,Normal"&amp;6Página 1 de 1&amp;R
</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K50"/>
  <sheetViews>
    <sheetView showGridLines="0" showZeros="0" tabSelected="1" view="pageBreakPreview" zoomScaleSheetLayoutView="100" workbookViewId="0">
      <selection activeCell="AB7" sqref="AB7:AH7"/>
    </sheetView>
  </sheetViews>
  <sheetFormatPr baseColWidth="10" defaultColWidth="2.7109375" defaultRowHeight="12.95" customHeight="1"/>
  <cols>
    <col min="1" max="1" width="2.85546875" style="1078" customWidth="1"/>
    <col min="2" max="2" width="2.28515625" style="1078" customWidth="1"/>
    <col min="3" max="13" width="2.85546875" style="1078" customWidth="1"/>
    <col min="14" max="14" width="2.28515625" style="1078" customWidth="1"/>
    <col min="15" max="16" width="2.85546875" style="1078" customWidth="1"/>
    <col min="17" max="18" width="1.7109375" style="1078" customWidth="1"/>
    <col min="19" max="19" width="1.85546875" style="1078" customWidth="1"/>
    <col min="20" max="20" width="2.42578125" style="1078" customWidth="1"/>
    <col min="21" max="27" width="2.85546875" style="1078" customWidth="1"/>
    <col min="28" max="30" width="2.42578125" style="1078" customWidth="1"/>
    <col min="31" max="35" width="2.85546875" style="1078" customWidth="1"/>
    <col min="36" max="36" width="1.85546875" style="1078" customWidth="1"/>
    <col min="37" max="37" width="17.85546875" style="1155" customWidth="1"/>
    <col min="38" max="51" width="2.7109375" style="1155" customWidth="1"/>
    <col min="52" max="53" width="3" style="1155" customWidth="1"/>
    <col min="54" max="54" width="2.5703125" style="1155" customWidth="1"/>
    <col min="55" max="56" width="2.7109375" style="1155" customWidth="1"/>
    <col min="57" max="57" width="2.5703125" style="1155" customWidth="1"/>
    <col min="58" max="71" width="2.7109375" style="1155" customWidth="1"/>
    <col min="72" max="72" width="3.42578125" style="1155" customWidth="1"/>
    <col min="73" max="73" width="2.7109375" style="1155" customWidth="1"/>
    <col min="74" max="115" width="2.7109375" style="1155"/>
    <col min="116" max="256" width="2.7109375" style="1078"/>
    <col min="257" max="292" width="2.85546875" style="1078" customWidth="1"/>
    <col min="293" max="307" width="2.7109375" style="1078" customWidth="1"/>
    <col min="308" max="309" width="3" style="1078" customWidth="1"/>
    <col min="310" max="310" width="2.5703125" style="1078" customWidth="1"/>
    <col min="311" max="312" width="2.7109375" style="1078" customWidth="1"/>
    <col min="313" max="313" width="2.5703125" style="1078" customWidth="1"/>
    <col min="314" max="327" width="2.7109375" style="1078" customWidth="1"/>
    <col min="328" max="328" width="3.42578125" style="1078" customWidth="1"/>
    <col min="329" max="512" width="2.7109375" style="1078"/>
    <col min="513" max="548" width="2.85546875" style="1078" customWidth="1"/>
    <col min="549" max="563" width="2.7109375" style="1078" customWidth="1"/>
    <col min="564" max="565" width="3" style="1078" customWidth="1"/>
    <col min="566" max="566" width="2.5703125" style="1078" customWidth="1"/>
    <col min="567" max="568" width="2.7109375" style="1078" customWidth="1"/>
    <col min="569" max="569" width="2.5703125" style="1078" customWidth="1"/>
    <col min="570" max="583" width="2.7109375" style="1078" customWidth="1"/>
    <col min="584" max="584" width="3.42578125" style="1078" customWidth="1"/>
    <col min="585" max="768" width="2.7109375" style="1078"/>
    <col min="769" max="804" width="2.85546875" style="1078" customWidth="1"/>
    <col min="805" max="819" width="2.7109375" style="1078" customWidth="1"/>
    <col min="820" max="821" width="3" style="1078" customWidth="1"/>
    <col min="822" max="822" width="2.5703125" style="1078" customWidth="1"/>
    <col min="823" max="824" width="2.7109375" style="1078" customWidth="1"/>
    <col min="825" max="825" width="2.5703125" style="1078" customWidth="1"/>
    <col min="826" max="839" width="2.7109375" style="1078" customWidth="1"/>
    <col min="840" max="840" width="3.42578125" style="1078" customWidth="1"/>
    <col min="841" max="1024" width="2.7109375" style="1078"/>
    <col min="1025" max="1060" width="2.85546875" style="1078" customWidth="1"/>
    <col min="1061" max="1075" width="2.7109375" style="1078" customWidth="1"/>
    <col min="1076" max="1077" width="3" style="1078" customWidth="1"/>
    <col min="1078" max="1078" width="2.5703125" style="1078" customWidth="1"/>
    <col min="1079" max="1080" width="2.7109375" style="1078" customWidth="1"/>
    <col min="1081" max="1081" width="2.5703125" style="1078" customWidth="1"/>
    <col min="1082" max="1095" width="2.7109375" style="1078" customWidth="1"/>
    <col min="1096" max="1096" width="3.42578125" style="1078" customWidth="1"/>
    <col min="1097" max="1280" width="2.7109375" style="1078"/>
    <col min="1281" max="1316" width="2.85546875" style="1078" customWidth="1"/>
    <col min="1317" max="1331" width="2.7109375" style="1078" customWidth="1"/>
    <col min="1332" max="1333" width="3" style="1078" customWidth="1"/>
    <col min="1334" max="1334" width="2.5703125" style="1078" customWidth="1"/>
    <col min="1335" max="1336" width="2.7109375" style="1078" customWidth="1"/>
    <col min="1337" max="1337" width="2.5703125" style="1078" customWidth="1"/>
    <col min="1338" max="1351" width="2.7109375" style="1078" customWidth="1"/>
    <col min="1352" max="1352" width="3.42578125" style="1078" customWidth="1"/>
    <col min="1353" max="1536" width="2.7109375" style="1078"/>
    <col min="1537" max="1572" width="2.85546875" style="1078" customWidth="1"/>
    <col min="1573" max="1587" width="2.7109375" style="1078" customWidth="1"/>
    <col min="1588" max="1589" width="3" style="1078" customWidth="1"/>
    <col min="1590" max="1590" width="2.5703125" style="1078" customWidth="1"/>
    <col min="1591" max="1592" width="2.7109375" style="1078" customWidth="1"/>
    <col min="1593" max="1593" width="2.5703125" style="1078" customWidth="1"/>
    <col min="1594" max="1607" width="2.7109375" style="1078" customWidth="1"/>
    <col min="1608" max="1608" width="3.42578125" style="1078" customWidth="1"/>
    <col min="1609" max="1792" width="2.7109375" style="1078"/>
    <col min="1793" max="1828" width="2.85546875" style="1078" customWidth="1"/>
    <col min="1829" max="1843" width="2.7109375" style="1078" customWidth="1"/>
    <col min="1844" max="1845" width="3" style="1078" customWidth="1"/>
    <col min="1846" max="1846" width="2.5703125" style="1078" customWidth="1"/>
    <col min="1847" max="1848" width="2.7109375" style="1078" customWidth="1"/>
    <col min="1849" max="1849" width="2.5703125" style="1078" customWidth="1"/>
    <col min="1850" max="1863" width="2.7109375" style="1078" customWidth="1"/>
    <col min="1864" max="1864" width="3.42578125" style="1078" customWidth="1"/>
    <col min="1865" max="2048" width="2.7109375" style="1078"/>
    <col min="2049" max="2084" width="2.85546875" style="1078" customWidth="1"/>
    <col min="2085" max="2099" width="2.7109375" style="1078" customWidth="1"/>
    <col min="2100" max="2101" width="3" style="1078" customWidth="1"/>
    <col min="2102" max="2102" width="2.5703125" style="1078" customWidth="1"/>
    <col min="2103" max="2104" width="2.7109375" style="1078" customWidth="1"/>
    <col min="2105" max="2105" width="2.5703125" style="1078" customWidth="1"/>
    <col min="2106" max="2119" width="2.7109375" style="1078" customWidth="1"/>
    <col min="2120" max="2120" width="3.42578125" style="1078" customWidth="1"/>
    <col min="2121" max="2304" width="2.7109375" style="1078"/>
    <col min="2305" max="2340" width="2.85546875" style="1078" customWidth="1"/>
    <col min="2341" max="2355" width="2.7109375" style="1078" customWidth="1"/>
    <col min="2356" max="2357" width="3" style="1078" customWidth="1"/>
    <col min="2358" max="2358" width="2.5703125" style="1078" customWidth="1"/>
    <col min="2359" max="2360" width="2.7109375" style="1078" customWidth="1"/>
    <col min="2361" max="2361" width="2.5703125" style="1078" customWidth="1"/>
    <col min="2362" max="2375" width="2.7109375" style="1078" customWidth="1"/>
    <col min="2376" max="2376" width="3.42578125" style="1078" customWidth="1"/>
    <col min="2377" max="2560" width="2.7109375" style="1078"/>
    <col min="2561" max="2596" width="2.85546875" style="1078" customWidth="1"/>
    <col min="2597" max="2611" width="2.7109375" style="1078" customWidth="1"/>
    <col min="2612" max="2613" width="3" style="1078" customWidth="1"/>
    <col min="2614" max="2614" width="2.5703125" style="1078" customWidth="1"/>
    <col min="2615" max="2616" width="2.7109375" style="1078" customWidth="1"/>
    <col min="2617" max="2617" width="2.5703125" style="1078" customWidth="1"/>
    <col min="2618" max="2631" width="2.7109375" style="1078" customWidth="1"/>
    <col min="2632" max="2632" width="3.42578125" style="1078" customWidth="1"/>
    <col min="2633" max="2816" width="2.7109375" style="1078"/>
    <col min="2817" max="2852" width="2.85546875" style="1078" customWidth="1"/>
    <col min="2853" max="2867" width="2.7109375" style="1078" customWidth="1"/>
    <col min="2868" max="2869" width="3" style="1078" customWidth="1"/>
    <col min="2870" max="2870" width="2.5703125" style="1078" customWidth="1"/>
    <col min="2871" max="2872" width="2.7109375" style="1078" customWidth="1"/>
    <col min="2873" max="2873" width="2.5703125" style="1078" customWidth="1"/>
    <col min="2874" max="2887" width="2.7109375" style="1078" customWidth="1"/>
    <col min="2888" max="2888" width="3.42578125" style="1078" customWidth="1"/>
    <col min="2889" max="3072" width="2.7109375" style="1078"/>
    <col min="3073" max="3108" width="2.85546875" style="1078" customWidth="1"/>
    <col min="3109" max="3123" width="2.7109375" style="1078" customWidth="1"/>
    <col min="3124" max="3125" width="3" style="1078" customWidth="1"/>
    <col min="3126" max="3126" width="2.5703125" style="1078" customWidth="1"/>
    <col min="3127" max="3128" width="2.7109375" style="1078" customWidth="1"/>
    <col min="3129" max="3129" width="2.5703125" style="1078" customWidth="1"/>
    <col min="3130" max="3143" width="2.7109375" style="1078" customWidth="1"/>
    <col min="3144" max="3144" width="3.42578125" style="1078" customWidth="1"/>
    <col min="3145" max="3328" width="2.7109375" style="1078"/>
    <col min="3329" max="3364" width="2.85546875" style="1078" customWidth="1"/>
    <col min="3365" max="3379" width="2.7109375" style="1078" customWidth="1"/>
    <col min="3380" max="3381" width="3" style="1078" customWidth="1"/>
    <col min="3382" max="3382" width="2.5703125" style="1078" customWidth="1"/>
    <col min="3383" max="3384" width="2.7109375" style="1078" customWidth="1"/>
    <col min="3385" max="3385" width="2.5703125" style="1078" customWidth="1"/>
    <col min="3386" max="3399" width="2.7109375" style="1078" customWidth="1"/>
    <col min="3400" max="3400" width="3.42578125" style="1078" customWidth="1"/>
    <col min="3401" max="3584" width="2.7109375" style="1078"/>
    <col min="3585" max="3620" width="2.85546875" style="1078" customWidth="1"/>
    <col min="3621" max="3635" width="2.7109375" style="1078" customWidth="1"/>
    <col min="3636" max="3637" width="3" style="1078" customWidth="1"/>
    <col min="3638" max="3638" width="2.5703125" style="1078" customWidth="1"/>
    <col min="3639" max="3640" width="2.7109375" style="1078" customWidth="1"/>
    <col min="3641" max="3641" width="2.5703125" style="1078" customWidth="1"/>
    <col min="3642" max="3655" width="2.7109375" style="1078" customWidth="1"/>
    <col min="3656" max="3656" width="3.42578125" style="1078" customWidth="1"/>
    <col min="3657" max="3840" width="2.7109375" style="1078"/>
    <col min="3841" max="3876" width="2.85546875" style="1078" customWidth="1"/>
    <col min="3877" max="3891" width="2.7109375" style="1078" customWidth="1"/>
    <col min="3892" max="3893" width="3" style="1078" customWidth="1"/>
    <col min="3894" max="3894" width="2.5703125" style="1078" customWidth="1"/>
    <col min="3895" max="3896" width="2.7109375" style="1078" customWidth="1"/>
    <col min="3897" max="3897" width="2.5703125" style="1078" customWidth="1"/>
    <col min="3898" max="3911" width="2.7109375" style="1078" customWidth="1"/>
    <col min="3912" max="3912" width="3.42578125" style="1078" customWidth="1"/>
    <col min="3913" max="4096" width="2.7109375" style="1078"/>
    <col min="4097" max="4132" width="2.85546875" style="1078" customWidth="1"/>
    <col min="4133" max="4147" width="2.7109375" style="1078" customWidth="1"/>
    <col min="4148" max="4149" width="3" style="1078" customWidth="1"/>
    <col min="4150" max="4150" width="2.5703125" style="1078" customWidth="1"/>
    <col min="4151" max="4152" width="2.7109375" style="1078" customWidth="1"/>
    <col min="4153" max="4153" width="2.5703125" style="1078" customWidth="1"/>
    <col min="4154" max="4167" width="2.7109375" style="1078" customWidth="1"/>
    <col min="4168" max="4168" width="3.42578125" style="1078" customWidth="1"/>
    <col min="4169" max="4352" width="2.7109375" style="1078"/>
    <col min="4353" max="4388" width="2.85546875" style="1078" customWidth="1"/>
    <col min="4389" max="4403" width="2.7109375" style="1078" customWidth="1"/>
    <col min="4404" max="4405" width="3" style="1078" customWidth="1"/>
    <col min="4406" max="4406" width="2.5703125" style="1078" customWidth="1"/>
    <col min="4407" max="4408" width="2.7109375" style="1078" customWidth="1"/>
    <col min="4409" max="4409" width="2.5703125" style="1078" customWidth="1"/>
    <col min="4410" max="4423" width="2.7109375" style="1078" customWidth="1"/>
    <col min="4424" max="4424" width="3.42578125" style="1078" customWidth="1"/>
    <col min="4425" max="4608" width="2.7109375" style="1078"/>
    <col min="4609" max="4644" width="2.85546875" style="1078" customWidth="1"/>
    <col min="4645" max="4659" width="2.7109375" style="1078" customWidth="1"/>
    <col min="4660" max="4661" width="3" style="1078" customWidth="1"/>
    <col min="4662" max="4662" width="2.5703125" style="1078" customWidth="1"/>
    <col min="4663" max="4664" width="2.7109375" style="1078" customWidth="1"/>
    <col min="4665" max="4665" width="2.5703125" style="1078" customWidth="1"/>
    <col min="4666" max="4679" width="2.7109375" style="1078" customWidth="1"/>
    <col min="4680" max="4680" width="3.42578125" style="1078" customWidth="1"/>
    <col min="4681" max="4864" width="2.7109375" style="1078"/>
    <col min="4865" max="4900" width="2.85546875" style="1078" customWidth="1"/>
    <col min="4901" max="4915" width="2.7109375" style="1078" customWidth="1"/>
    <col min="4916" max="4917" width="3" style="1078" customWidth="1"/>
    <col min="4918" max="4918" width="2.5703125" style="1078" customWidth="1"/>
    <col min="4919" max="4920" width="2.7109375" style="1078" customWidth="1"/>
    <col min="4921" max="4921" width="2.5703125" style="1078" customWidth="1"/>
    <col min="4922" max="4935" width="2.7109375" style="1078" customWidth="1"/>
    <col min="4936" max="4936" width="3.42578125" style="1078" customWidth="1"/>
    <col min="4937" max="5120" width="2.7109375" style="1078"/>
    <col min="5121" max="5156" width="2.85546875" style="1078" customWidth="1"/>
    <col min="5157" max="5171" width="2.7109375" style="1078" customWidth="1"/>
    <col min="5172" max="5173" width="3" style="1078" customWidth="1"/>
    <col min="5174" max="5174" width="2.5703125" style="1078" customWidth="1"/>
    <col min="5175" max="5176" width="2.7109375" style="1078" customWidth="1"/>
    <col min="5177" max="5177" width="2.5703125" style="1078" customWidth="1"/>
    <col min="5178" max="5191" width="2.7109375" style="1078" customWidth="1"/>
    <col min="5192" max="5192" width="3.42578125" style="1078" customWidth="1"/>
    <col min="5193" max="5376" width="2.7109375" style="1078"/>
    <col min="5377" max="5412" width="2.85546875" style="1078" customWidth="1"/>
    <col min="5413" max="5427" width="2.7109375" style="1078" customWidth="1"/>
    <col min="5428" max="5429" width="3" style="1078" customWidth="1"/>
    <col min="5430" max="5430" width="2.5703125" style="1078" customWidth="1"/>
    <col min="5431" max="5432" width="2.7109375" style="1078" customWidth="1"/>
    <col min="5433" max="5433" width="2.5703125" style="1078" customWidth="1"/>
    <col min="5434" max="5447" width="2.7109375" style="1078" customWidth="1"/>
    <col min="5448" max="5448" width="3.42578125" style="1078" customWidth="1"/>
    <col min="5449" max="5632" width="2.7109375" style="1078"/>
    <col min="5633" max="5668" width="2.85546875" style="1078" customWidth="1"/>
    <col min="5669" max="5683" width="2.7109375" style="1078" customWidth="1"/>
    <col min="5684" max="5685" width="3" style="1078" customWidth="1"/>
    <col min="5686" max="5686" width="2.5703125" style="1078" customWidth="1"/>
    <col min="5687" max="5688" width="2.7109375" style="1078" customWidth="1"/>
    <col min="5689" max="5689" width="2.5703125" style="1078" customWidth="1"/>
    <col min="5690" max="5703" width="2.7109375" style="1078" customWidth="1"/>
    <col min="5704" max="5704" width="3.42578125" style="1078" customWidth="1"/>
    <col min="5705" max="5888" width="2.7109375" style="1078"/>
    <col min="5889" max="5924" width="2.85546875" style="1078" customWidth="1"/>
    <col min="5925" max="5939" width="2.7109375" style="1078" customWidth="1"/>
    <col min="5940" max="5941" width="3" style="1078" customWidth="1"/>
    <col min="5942" max="5942" width="2.5703125" style="1078" customWidth="1"/>
    <col min="5943" max="5944" width="2.7109375" style="1078" customWidth="1"/>
    <col min="5945" max="5945" width="2.5703125" style="1078" customWidth="1"/>
    <col min="5946" max="5959" width="2.7109375" style="1078" customWidth="1"/>
    <col min="5960" max="5960" width="3.42578125" style="1078" customWidth="1"/>
    <col min="5961" max="6144" width="2.7109375" style="1078"/>
    <col min="6145" max="6180" width="2.85546875" style="1078" customWidth="1"/>
    <col min="6181" max="6195" width="2.7109375" style="1078" customWidth="1"/>
    <col min="6196" max="6197" width="3" style="1078" customWidth="1"/>
    <col min="6198" max="6198" width="2.5703125" style="1078" customWidth="1"/>
    <col min="6199" max="6200" width="2.7109375" style="1078" customWidth="1"/>
    <col min="6201" max="6201" width="2.5703125" style="1078" customWidth="1"/>
    <col min="6202" max="6215" width="2.7109375" style="1078" customWidth="1"/>
    <col min="6216" max="6216" width="3.42578125" style="1078" customWidth="1"/>
    <col min="6217" max="6400" width="2.7109375" style="1078"/>
    <col min="6401" max="6436" width="2.85546875" style="1078" customWidth="1"/>
    <col min="6437" max="6451" width="2.7109375" style="1078" customWidth="1"/>
    <col min="6452" max="6453" width="3" style="1078" customWidth="1"/>
    <col min="6454" max="6454" width="2.5703125" style="1078" customWidth="1"/>
    <col min="6455" max="6456" width="2.7109375" style="1078" customWidth="1"/>
    <col min="6457" max="6457" width="2.5703125" style="1078" customWidth="1"/>
    <col min="6458" max="6471" width="2.7109375" style="1078" customWidth="1"/>
    <col min="6472" max="6472" width="3.42578125" style="1078" customWidth="1"/>
    <col min="6473" max="6656" width="2.7109375" style="1078"/>
    <col min="6657" max="6692" width="2.85546875" style="1078" customWidth="1"/>
    <col min="6693" max="6707" width="2.7109375" style="1078" customWidth="1"/>
    <col min="6708" max="6709" width="3" style="1078" customWidth="1"/>
    <col min="6710" max="6710" width="2.5703125" style="1078" customWidth="1"/>
    <col min="6711" max="6712" width="2.7109375" style="1078" customWidth="1"/>
    <col min="6713" max="6713" width="2.5703125" style="1078" customWidth="1"/>
    <col min="6714" max="6727" width="2.7109375" style="1078" customWidth="1"/>
    <col min="6728" max="6728" width="3.42578125" style="1078" customWidth="1"/>
    <col min="6729" max="6912" width="2.7109375" style="1078"/>
    <col min="6913" max="6948" width="2.85546875" style="1078" customWidth="1"/>
    <col min="6949" max="6963" width="2.7109375" style="1078" customWidth="1"/>
    <col min="6964" max="6965" width="3" style="1078" customWidth="1"/>
    <col min="6966" max="6966" width="2.5703125" style="1078" customWidth="1"/>
    <col min="6967" max="6968" width="2.7109375" style="1078" customWidth="1"/>
    <col min="6969" max="6969" width="2.5703125" style="1078" customWidth="1"/>
    <col min="6970" max="6983" width="2.7109375" style="1078" customWidth="1"/>
    <col min="6984" max="6984" width="3.42578125" style="1078" customWidth="1"/>
    <col min="6985" max="7168" width="2.7109375" style="1078"/>
    <col min="7169" max="7204" width="2.85546875" style="1078" customWidth="1"/>
    <col min="7205" max="7219" width="2.7109375" style="1078" customWidth="1"/>
    <col min="7220" max="7221" width="3" style="1078" customWidth="1"/>
    <col min="7222" max="7222" width="2.5703125" style="1078" customWidth="1"/>
    <col min="7223" max="7224" width="2.7109375" style="1078" customWidth="1"/>
    <col min="7225" max="7225" width="2.5703125" style="1078" customWidth="1"/>
    <col min="7226" max="7239" width="2.7109375" style="1078" customWidth="1"/>
    <col min="7240" max="7240" width="3.42578125" style="1078" customWidth="1"/>
    <col min="7241" max="7424" width="2.7109375" style="1078"/>
    <col min="7425" max="7460" width="2.85546875" style="1078" customWidth="1"/>
    <col min="7461" max="7475" width="2.7109375" style="1078" customWidth="1"/>
    <col min="7476" max="7477" width="3" style="1078" customWidth="1"/>
    <col min="7478" max="7478" width="2.5703125" style="1078" customWidth="1"/>
    <col min="7479" max="7480" width="2.7109375" style="1078" customWidth="1"/>
    <col min="7481" max="7481" width="2.5703125" style="1078" customWidth="1"/>
    <col min="7482" max="7495" width="2.7109375" style="1078" customWidth="1"/>
    <col min="7496" max="7496" width="3.42578125" style="1078" customWidth="1"/>
    <col min="7497" max="7680" width="2.7109375" style="1078"/>
    <col min="7681" max="7716" width="2.85546875" style="1078" customWidth="1"/>
    <col min="7717" max="7731" width="2.7109375" style="1078" customWidth="1"/>
    <col min="7732" max="7733" width="3" style="1078" customWidth="1"/>
    <col min="7734" max="7734" width="2.5703125" style="1078" customWidth="1"/>
    <col min="7735" max="7736" width="2.7109375" style="1078" customWidth="1"/>
    <col min="7737" max="7737" width="2.5703125" style="1078" customWidth="1"/>
    <col min="7738" max="7751" width="2.7109375" style="1078" customWidth="1"/>
    <col min="7752" max="7752" width="3.42578125" style="1078" customWidth="1"/>
    <col min="7753" max="7936" width="2.7109375" style="1078"/>
    <col min="7937" max="7972" width="2.85546875" style="1078" customWidth="1"/>
    <col min="7973" max="7987" width="2.7109375" style="1078" customWidth="1"/>
    <col min="7988" max="7989" width="3" style="1078" customWidth="1"/>
    <col min="7990" max="7990" width="2.5703125" style="1078" customWidth="1"/>
    <col min="7991" max="7992" width="2.7109375" style="1078" customWidth="1"/>
    <col min="7993" max="7993" width="2.5703125" style="1078" customWidth="1"/>
    <col min="7994" max="8007" width="2.7109375" style="1078" customWidth="1"/>
    <col min="8008" max="8008" width="3.42578125" style="1078" customWidth="1"/>
    <col min="8009" max="8192" width="2.7109375" style="1078"/>
    <col min="8193" max="8228" width="2.85546875" style="1078" customWidth="1"/>
    <col min="8229" max="8243" width="2.7109375" style="1078" customWidth="1"/>
    <col min="8244" max="8245" width="3" style="1078" customWidth="1"/>
    <col min="8246" max="8246" width="2.5703125" style="1078" customWidth="1"/>
    <col min="8247" max="8248" width="2.7109375" style="1078" customWidth="1"/>
    <col min="8249" max="8249" width="2.5703125" style="1078" customWidth="1"/>
    <col min="8250" max="8263" width="2.7109375" style="1078" customWidth="1"/>
    <col min="8264" max="8264" width="3.42578125" style="1078" customWidth="1"/>
    <col min="8265" max="8448" width="2.7109375" style="1078"/>
    <col min="8449" max="8484" width="2.85546875" style="1078" customWidth="1"/>
    <col min="8485" max="8499" width="2.7109375" style="1078" customWidth="1"/>
    <col min="8500" max="8501" width="3" style="1078" customWidth="1"/>
    <col min="8502" max="8502" width="2.5703125" style="1078" customWidth="1"/>
    <col min="8503" max="8504" width="2.7109375" style="1078" customWidth="1"/>
    <col min="8505" max="8505" width="2.5703125" style="1078" customWidth="1"/>
    <col min="8506" max="8519" width="2.7109375" style="1078" customWidth="1"/>
    <col min="8520" max="8520" width="3.42578125" style="1078" customWidth="1"/>
    <col min="8521" max="8704" width="2.7109375" style="1078"/>
    <col min="8705" max="8740" width="2.85546875" style="1078" customWidth="1"/>
    <col min="8741" max="8755" width="2.7109375" style="1078" customWidth="1"/>
    <col min="8756" max="8757" width="3" style="1078" customWidth="1"/>
    <col min="8758" max="8758" width="2.5703125" style="1078" customWidth="1"/>
    <col min="8759" max="8760" width="2.7109375" style="1078" customWidth="1"/>
    <col min="8761" max="8761" width="2.5703125" style="1078" customWidth="1"/>
    <col min="8762" max="8775" width="2.7109375" style="1078" customWidth="1"/>
    <col min="8776" max="8776" width="3.42578125" style="1078" customWidth="1"/>
    <col min="8777" max="8960" width="2.7109375" style="1078"/>
    <col min="8961" max="8996" width="2.85546875" style="1078" customWidth="1"/>
    <col min="8997" max="9011" width="2.7109375" style="1078" customWidth="1"/>
    <col min="9012" max="9013" width="3" style="1078" customWidth="1"/>
    <col min="9014" max="9014" width="2.5703125" style="1078" customWidth="1"/>
    <col min="9015" max="9016" width="2.7109375" style="1078" customWidth="1"/>
    <col min="9017" max="9017" width="2.5703125" style="1078" customWidth="1"/>
    <col min="9018" max="9031" width="2.7109375" style="1078" customWidth="1"/>
    <col min="9032" max="9032" width="3.42578125" style="1078" customWidth="1"/>
    <col min="9033" max="9216" width="2.7109375" style="1078"/>
    <col min="9217" max="9252" width="2.85546875" style="1078" customWidth="1"/>
    <col min="9253" max="9267" width="2.7109375" style="1078" customWidth="1"/>
    <col min="9268" max="9269" width="3" style="1078" customWidth="1"/>
    <col min="9270" max="9270" width="2.5703125" style="1078" customWidth="1"/>
    <col min="9271" max="9272" width="2.7109375" style="1078" customWidth="1"/>
    <col min="9273" max="9273" width="2.5703125" style="1078" customWidth="1"/>
    <col min="9274" max="9287" width="2.7109375" style="1078" customWidth="1"/>
    <col min="9288" max="9288" width="3.42578125" style="1078" customWidth="1"/>
    <col min="9289" max="9472" width="2.7109375" style="1078"/>
    <col min="9473" max="9508" width="2.85546875" style="1078" customWidth="1"/>
    <col min="9509" max="9523" width="2.7109375" style="1078" customWidth="1"/>
    <col min="9524" max="9525" width="3" style="1078" customWidth="1"/>
    <col min="9526" max="9526" width="2.5703125" style="1078" customWidth="1"/>
    <col min="9527" max="9528" width="2.7109375" style="1078" customWidth="1"/>
    <col min="9529" max="9529" width="2.5703125" style="1078" customWidth="1"/>
    <col min="9530" max="9543" width="2.7109375" style="1078" customWidth="1"/>
    <col min="9544" max="9544" width="3.42578125" style="1078" customWidth="1"/>
    <col min="9545" max="9728" width="2.7109375" style="1078"/>
    <col min="9729" max="9764" width="2.85546875" style="1078" customWidth="1"/>
    <col min="9765" max="9779" width="2.7109375" style="1078" customWidth="1"/>
    <col min="9780" max="9781" width="3" style="1078" customWidth="1"/>
    <col min="9782" max="9782" width="2.5703125" style="1078" customWidth="1"/>
    <col min="9783" max="9784" width="2.7109375" style="1078" customWidth="1"/>
    <col min="9785" max="9785" width="2.5703125" style="1078" customWidth="1"/>
    <col min="9786" max="9799" width="2.7109375" style="1078" customWidth="1"/>
    <col min="9800" max="9800" width="3.42578125" style="1078" customWidth="1"/>
    <col min="9801" max="9984" width="2.7109375" style="1078"/>
    <col min="9985" max="10020" width="2.85546875" style="1078" customWidth="1"/>
    <col min="10021" max="10035" width="2.7109375" style="1078" customWidth="1"/>
    <col min="10036" max="10037" width="3" style="1078" customWidth="1"/>
    <col min="10038" max="10038" width="2.5703125" style="1078" customWidth="1"/>
    <col min="10039" max="10040" width="2.7109375" style="1078" customWidth="1"/>
    <col min="10041" max="10041" width="2.5703125" style="1078" customWidth="1"/>
    <col min="10042" max="10055" width="2.7109375" style="1078" customWidth="1"/>
    <col min="10056" max="10056" width="3.42578125" style="1078" customWidth="1"/>
    <col min="10057" max="10240" width="2.7109375" style="1078"/>
    <col min="10241" max="10276" width="2.85546875" style="1078" customWidth="1"/>
    <col min="10277" max="10291" width="2.7109375" style="1078" customWidth="1"/>
    <col min="10292" max="10293" width="3" style="1078" customWidth="1"/>
    <col min="10294" max="10294" width="2.5703125" style="1078" customWidth="1"/>
    <col min="10295" max="10296" width="2.7109375" style="1078" customWidth="1"/>
    <col min="10297" max="10297" width="2.5703125" style="1078" customWidth="1"/>
    <col min="10298" max="10311" width="2.7109375" style="1078" customWidth="1"/>
    <col min="10312" max="10312" width="3.42578125" style="1078" customWidth="1"/>
    <col min="10313" max="10496" width="2.7109375" style="1078"/>
    <col min="10497" max="10532" width="2.85546875" style="1078" customWidth="1"/>
    <col min="10533" max="10547" width="2.7109375" style="1078" customWidth="1"/>
    <col min="10548" max="10549" width="3" style="1078" customWidth="1"/>
    <col min="10550" max="10550" width="2.5703125" style="1078" customWidth="1"/>
    <col min="10551" max="10552" width="2.7109375" style="1078" customWidth="1"/>
    <col min="10553" max="10553" width="2.5703125" style="1078" customWidth="1"/>
    <col min="10554" max="10567" width="2.7109375" style="1078" customWidth="1"/>
    <col min="10568" max="10568" width="3.42578125" style="1078" customWidth="1"/>
    <col min="10569" max="10752" width="2.7109375" style="1078"/>
    <col min="10753" max="10788" width="2.85546875" style="1078" customWidth="1"/>
    <col min="10789" max="10803" width="2.7109375" style="1078" customWidth="1"/>
    <col min="10804" max="10805" width="3" style="1078" customWidth="1"/>
    <col min="10806" max="10806" width="2.5703125" style="1078" customWidth="1"/>
    <col min="10807" max="10808" width="2.7109375" style="1078" customWidth="1"/>
    <col min="10809" max="10809" width="2.5703125" style="1078" customWidth="1"/>
    <col min="10810" max="10823" width="2.7109375" style="1078" customWidth="1"/>
    <col min="10824" max="10824" width="3.42578125" style="1078" customWidth="1"/>
    <col min="10825" max="11008" width="2.7109375" style="1078"/>
    <col min="11009" max="11044" width="2.85546875" style="1078" customWidth="1"/>
    <col min="11045" max="11059" width="2.7109375" style="1078" customWidth="1"/>
    <col min="11060" max="11061" width="3" style="1078" customWidth="1"/>
    <col min="11062" max="11062" width="2.5703125" style="1078" customWidth="1"/>
    <col min="11063" max="11064" width="2.7109375" style="1078" customWidth="1"/>
    <col min="11065" max="11065" width="2.5703125" style="1078" customWidth="1"/>
    <col min="11066" max="11079" width="2.7109375" style="1078" customWidth="1"/>
    <col min="11080" max="11080" width="3.42578125" style="1078" customWidth="1"/>
    <col min="11081" max="11264" width="2.7109375" style="1078"/>
    <col min="11265" max="11300" width="2.85546875" style="1078" customWidth="1"/>
    <col min="11301" max="11315" width="2.7109375" style="1078" customWidth="1"/>
    <col min="11316" max="11317" width="3" style="1078" customWidth="1"/>
    <col min="11318" max="11318" width="2.5703125" style="1078" customWidth="1"/>
    <col min="11319" max="11320" width="2.7109375" style="1078" customWidth="1"/>
    <col min="11321" max="11321" width="2.5703125" style="1078" customWidth="1"/>
    <col min="11322" max="11335" width="2.7109375" style="1078" customWidth="1"/>
    <col min="11336" max="11336" width="3.42578125" style="1078" customWidth="1"/>
    <col min="11337" max="11520" width="2.7109375" style="1078"/>
    <col min="11521" max="11556" width="2.85546875" style="1078" customWidth="1"/>
    <col min="11557" max="11571" width="2.7109375" style="1078" customWidth="1"/>
    <col min="11572" max="11573" width="3" style="1078" customWidth="1"/>
    <col min="11574" max="11574" width="2.5703125" style="1078" customWidth="1"/>
    <col min="11575" max="11576" width="2.7109375" style="1078" customWidth="1"/>
    <col min="11577" max="11577" width="2.5703125" style="1078" customWidth="1"/>
    <col min="11578" max="11591" width="2.7109375" style="1078" customWidth="1"/>
    <col min="11592" max="11592" width="3.42578125" style="1078" customWidth="1"/>
    <col min="11593" max="11776" width="2.7109375" style="1078"/>
    <col min="11777" max="11812" width="2.85546875" style="1078" customWidth="1"/>
    <col min="11813" max="11827" width="2.7109375" style="1078" customWidth="1"/>
    <col min="11828" max="11829" width="3" style="1078" customWidth="1"/>
    <col min="11830" max="11830" width="2.5703125" style="1078" customWidth="1"/>
    <col min="11831" max="11832" width="2.7109375" style="1078" customWidth="1"/>
    <col min="11833" max="11833" width="2.5703125" style="1078" customWidth="1"/>
    <col min="11834" max="11847" width="2.7109375" style="1078" customWidth="1"/>
    <col min="11848" max="11848" width="3.42578125" style="1078" customWidth="1"/>
    <col min="11849" max="12032" width="2.7109375" style="1078"/>
    <col min="12033" max="12068" width="2.85546875" style="1078" customWidth="1"/>
    <col min="12069" max="12083" width="2.7109375" style="1078" customWidth="1"/>
    <col min="12084" max="12085" width="3" style="1078" customWidth="1"/>
    <col min="12086" max="12086" width="2.5703125" style="1078" customWidth="1"/>
    <col min="12087" max="12088" width="2.7109375" style="1078" customWidth="1"/>
    <col min="12089" max="12089" width="2.5703125" style="1078" customWidth="1"/>
    <col min="12090" max="12103" width="2.7109375" style="1078" customWidth="1"/>
    <col min="12104" max="12104" width="3.42578125" style="1078" customWidth="1"/>
    <col min="12105" max="12288" width="2.7109375" style="1078"/>
    <col min="12289" max="12324" width="2.85546875" style="1078" customWidth="1"/>
    <col min="12325" max="12339" width="2.7109375" style="1078" customWidth="1"/>
    <col min="12340" max="12341" width="3" style="1078" customWidth="1"/>
    <col min="12342" max="12342" width="2.5703125" style="1078" customWidth="1"/>
    <col min="12343" max="12344" width="2.7109375" style="1078" customWidth="1"/>
    <col min="12345" max="12345" width="2.5703125" style="1078" customWidth="1"/>
    <col min="12346" max="12359" width="2.7109375" style="1078" customWidth="1"/>
    <col min="12360" max="12360" width="3.42578125" style="1078" customWidth="1"/>
    <col min="12361" max="12544" width="2.7109375" style="1078"/>
    <col min="12545" max="12580" width="2.85546875" style="1078" customWidth="1"/>
    <col min="12581" max="12595" width="2.7109375" style="1078" customWidth="1"/>
    <col min="12596" max="12597" width="3" style="1078" customWidth="1"/>
    <col min="12598" max="12598" width="2.5703125" style="1078" customWidth="1"/>
    <col min="12599" max="12600" width="2.7109375" style="1078" customWidth="1"/>
    <col min="12601" max="12601" width="2.5703125" style="1078" customWidth="1"/>
    <col min="12602" max="12615" width="2.7109375" style="1078" customWidth="1"/>
    <col min="12616" max="12616" width="3.42578125" style="1078" customWidth="1"/>
    <col min="12617" max="12800" width="2.7109375" style="1078"/>
    <col min="12801" max="12836" width="2.85546875" style="1078" customWidth="1"/>
    <col min="12837" max="12851" width="2.7109375" style="1078" customWidth="1"/>
    <col min="12852" max="12853" width="3" style="1078" customWidth="1"/>
    <col min="12854" max="12854" width="2.5703125" style="1078" customWidth="1"/>
    <col min="12855" max="12856" width="2.7109375" style="1078" customWidth="1"/>
    <col min="12857" max="12857" width="2.5703125" style="1078" customWidth="1"/>
    <col min="12858" max="12871" width="2.7109375" style="1078" customWidth="1"/>
    <col min="12872" max="12872" width="3.42578125" style="1078" customWidth="1"/>
    <col min="12873" max="13056" width="2.7109375" style="1078"/>
    <col min="13057" max="13092" width="2.85546875" style="1078" customWidth="1"/>
    <col min="13093" max="13107" width="2.7109375" style="1078" customWidth="1"/>
    <col min="13108" max="13109" width="3" style="1078" customWidth="1"/>
    <col min="13110" max="13110" width="2.5703125" style="1078" customWidth="1"/>
    <col min="13111" max="13112" width="2.7109375" style="1078" customWidth="1"/>
    <col min="13113" max="13113" width="2.5703125" style="1078" customWidth="1"/>
    <col min="13114" max="13127" width="2.7109375" style="1078" customWidth="1"/>
    <col min="13128" max="13128" width="3.42578125" style="1078" customWidth="1"/>
    <col min="13129" max="13312" width="2.7109375" style="1078"/>
    <col min="13313" max="13348" width="2.85546875" style="1078" customWidth="1"/>
    <col min="13349" max="13363" width="2.7109375" style="1078" customWidth="1"/>
    <col min="13364" max="13365" width="3" style="1078" customWidth="1"/>
    <col min="13366" max="13366" width="2.5703125" style="1078" customWidth="1"/>
    <col min="13367" max="13368" width="2.7109375" style="1078" customWidth="1"/>
    <col min="13369" max="13369" width="2.5703125" style="1078" customWidth="1"/>
    <col min="13370" max="13383" width="2.7109375" style="1078" customWidth="1"/>
    <col min="13384" max="13384" width="3.42578125" style="1078" customWidth="1"/>
    <col min="13385" max="13568" width="2.7109375" style="1078"/>
    <col min="13569" max="13604" width="2.85546875" style="1078" customWidth="1"/>
    <col min="13605" max="13619" width="2.7109375" style="1078" customWidth="1"/>
    <col min="13620" max="13621" width="3" style="1078" customWidth="1"/>
    <col min="13622" max="13622" width="2.5703125" style="1078" customWidth="1"/>
    <col min="13623" max="13624" width="2.7109375" style="1078" customWidth="1"/>
    <col min="13625" max="13625" width="2.5703125" style="1078" customWidth="1"/>
    <col min="13626" max="13639" width="2.7109375" style="1078" customWidth="1"/>
    <col min="13640" max="13640" width="3.42578125" style="1078" customWidth="1"/>
    <col min="13641" max="13824" width="2.7109375" style="1078"/>
    <col min="13825" max="13860" width="2.85546875" style="1078" customWidth="1"/>
    <col min="13861" max="13875" width="2.7109375" style="1078" customWidth="1"/>
    <col min="13876" max="13877" width="3" style="1078" customWidth="1"/>
    <col min="13878" max="13878" width="2.5703125" style="1078" customWidth="1"/>
    <col min="13879" max="13880" width="2.7109375" style="1078" customWidth="1"/>
    <col min="13881" max="13881" width="2.5703125" style="1078" customWidth="1"/>
    <col min="13882" max="13895" width="2.7109375" style="1078" customWidth="1"/>
    <col min="13896" max="13896" width="3.42578125" style="1078" customWidth="1"/>
    <col min="13897" max="14080" width="2.7109375" style="1078"/>
    <col min="14081" max="14116" width="2.85546875" style="1078" customWidth="1"/>
    <col min="14117" max="14131" width="2.7109375" style="1078" customWidth="1"/>
    <col min="14132" max="14133" width="3" style="1078" customWidth="1"/>
    <col min="14134" max="14134" width="2.5703125" style="1078" customWidth="1"/>
    <col min="14135" max="14136" width="2.7109375" style="1078" customWidth="1"/>
    <col min="14137" max="14137" width="2.5703125" style="1078" customWidth="1"/>
    <col min="14138" max="14151" width="2.7109375" style="1078" customWidth="1"/>
    <col min="14152" max="14152" width="3.42578125" style="1078" customWidth="1"/>
    <col min="14153" max="14336" width="2.7109375" style="1078"/>
    <col min="14337" max="14372" width="2.85546875" style="1078" customWidth="1"/>
    <col min="14373" max="14387" width="2.7109375" style="1078" customWidth="1"/>
    <col min="14388" max="14389" width="3" style="1078" customWidth="1"/>
    <col min="14390" max="14390" width="2.5703125" style="1078" customWidth="1"/>
    <col min="14391" max="14392" width="2.7109375" style="1078" customWidth="1"/>
    <col min="14393" max="14393" width="2.5703125" style="1078" customWidth="1"/>
    <col min="14394" max="14407" width="2.7109375" style="1078" customWidth="1"/>
    <col min="14408" max="14408" width="3.42578125" style="1078" customWidth="1"/>
    <col min="14409" max="14592" width="2.7109375" style="1078"/>
    <col min="14593" max="14628" width="2.85546875" style="1078" customWidth="1"/>
    <col min="14629" max="14643" width="2.7109375" style="1078" customWidth="1"/>
    <col min="14644" max="14645" width="3" style="1078" customWidth="1"/>
    <col min="14646" max="14646" width="2.5703125" style="1078" customWidth="1"/>
    <col min="14647" max="14648" width="2.7109375" style="1078" customWidth="1"/>
    <col min="14649" max="14649" width="2.5703125" style="1078" customWidth="1"/>
    <col min="14650" max="14663" width="2.7109375" style="1078" customWidth="1"/>
    <col min="14664" max="14664" width="3.42578125" style="1078" customWidth="1"/>
    <col min="14665" max="14848" width="2.7109375" style="1078"/>
    <col min="14849" max="14884" width="2.85546875" style="1078" customWidth="1"/>
    <col min="14885" max="14899" width="2.7109375" style="1078" customWidth="1"/>
    <col min="14900" max="14901" width="3" style="1078" customWidth="1"/>
    <col min="14902" max="14902" width="2.5703125" style="1078" customWidth="1"/>
    <col min="14903" max="14904" width="2.7109375" style="1078" customWidth="1"/>
    <col min="14905" max="14905" width="2.5703125" style="1078" customWidth="1"/>
    <col min="14906" max="14919" width="2.7109375" style="1078" customWidth="1"/>
    <col min="14920" max="14920" width="3.42578125" style="1078" customWidth="1"/>
    <col min="14921" max="15104" width="2.7109375" style="1078"/>
    <col min="15105" max="15140" width="2.85546875" style="1078" customWidth="1"/>
    <col min="15141" max="15155" width="2.7109375" style="1078" customWidth="1"/>
    <col min="15156" max="15157" width="3" style="1078" customWidth="1"/>
    <col min="15158" max="15158" width="2.5703125" style="1078" customWidth="1"/>
    <col min="15159" max="15160" width="2.7109375" style="1078" customWidth="1"/>
    <col min="15161" max="15161" width="2.5703125" style="1078" customWidth="1"/>
    <col min="15162" max="15175" width="2.7109375" style="1078" customWidth="1"/>
    <col min="15176" max="15176" width="3.42578125" style="1078" customWidth="1"/>
    <col min="15177" max="15360" width="2.7109375" style="1078"/>
    <col min="15361" max="15396" width="2.85546875" style="1078" customWidth="1"/>
    <col min="15397" max="15411" width="2.7109375" style="1078" customWidth="1"/>
    <col min="15412" max="15413" width="3" style="1078" customWidth="1"/>
    <col min="15414" max="15414" width="2.5703125" style="1078" customWidth="1"/>
    <col min="15415" max="15416" width="2.7109375" style="1078" customWidth="1"/>
    <col min="15417" max="15417" width="2.5703125" style="1078" customWidth="1"/>
    <col min="15418" max="15431" width="2.7109375" style="1078" customWidth="1"/>
    <col min="15432" max="15432" width="3.42578125" style="1078" customWidth="1"/>
    <col min="15433" max="15616" width="2.7109375" style="1078"/>
    <col min="15617" max="15652" width="2.85546875" style="1078" customWidth="1"/>
    <col min="15653" max="15667" width="2.7109375" style="1078" customWidth="1"/>
    <col min="15668" max="15669" width="3" style="1078" customWidth="1"/>
    <col min="15670" max="15670" width="2.5703125" style="1078" customWidth="1"/>
    <col min="15671" max="15672" width="2.7109375" style="1078" customWidth="1"/>
    <col min="15673" max="15673" width="2.5703125" style="1078" customWidth="1"/>
    <col min="15674" max="15687" width="2.7109375" style="1078" customWidth="1"/>
    <col min="15688" max="15688" width="3.42578125" style="1078" customWidth="1"/>
    <col min="15689" max="15872" width="2.7109375" style="1078"/>
    <col min="15873" max="15908" width="2.85546875" style="1078" customWidth="1"/>
    <col min="15909" max="15923" width="2.7109375" style="1078" customWidth="1"/>
    <col min="15924" max="15925" width="3" style="1078" customWidth="1"/>
    <col min="15926" max="15926" width="2.5703125" style="1078" customWidth="1"/>
    <col min="15927" max="15928" width="2.7109375" style="1078" customWidth="1"/>
    <col min="15929" max="15929" width="2.5703125" style="1078" customWidth="1"/>
    <col min="15930" max="15943" width="2.7109375" style="1078" customWidth="1"/>
    <col min="15944" max="15944" width="3.42578125" style="1078" customWidth="1"/>
    <col min="15945" max="16128" width="2.7109375" style="1078"/>
    <col min="16129" max="16164" width="2.85546875" style="1078" customWidth="1"/>
    <col min="16165" max="16179" width="2.7109375" style="1078" customWidth="1"/>
    <col min="16180" max="16181" width="3" style="1078" customWidth="1"/>
    <col min="16182" max="16182" width="2.5703125" style="1078" customWidth="1"/>
    <col min="16183" max="16184" width="2.7109375" style="1078" customWidth="1"/>
    <col min="16185" max="16185" width="2.5703125" style="1078" customWidth="1"/>
    <col min="16186" max="16199" width="2.7109375" style="1078" customWidth="1"/>
    <col min="16200" max="16200" width="3.42578125" style="1078" customWidth="1"/>
    <col min="16201" max="16384" width="2.7109375" style="1078"/>
  </cols>
  <sheetData>
    <row r="1" spans="1:115" ht="15" customHeight="1">
      <c r="A1" s="1162"/>
      <c r="B1" s="1163"/>
      <c r="C1" s="1163"/>
      <c r="D1" s="1163"/>
      <c r="E1" s="1163"/>
      <c r="F1" s="1163"/>
      <c r="G1" s="1164"/>
      <c r="H1" s="3393" t="s">
        <v>847</v>
      </c>
      <c r="I1" s="3394"/>
      <c r="J1" s="3394"/>
      <c r="K1" s="3394"/>
      <c r="L1" s="3394"/>
      <c r="M1" s="3394"/>
      <c r="N1" s="3394"/>
      <c r="O1" s="3394"/>
      <c r="P1" s="3394"/>
      <c r="Q1" s="3394"/>
      <c r="R1" s="3394"/>
      <c r="S1" s="3394"/>
      <c r="T1" s="3394"/>
      <c r="U1" s="3394"/>
      <c r="V1" s="3394"/>
      <c r="W1" s="3394"/>
      <c r="X1" s="3394"/>
      <c r="Y1" s="3394"/>
      <c r="Z1" s="3394"/>
      <c r="AA1" s="3394"/>
      <c r="AB1" s="3394"/>
      <c r="AC1" s="3394"/>
      <c r="AD1" s="3394"/>
      <c r="AE1" s="3394"/>
      <c r="AF1" s="3394"/>
      <c r="AG1" s="3394"/>
      <c r="AH1" s="3394"/>
      <c r="AI1" s="3394"/>
      <c r="AJ1" s="3395"/>
      <c r="AO1" s="1161"/>
      <c r="AP1" s="1161"/>
      <c r="AQ1" s="1161"/>
      <c r="AR1" s="1161"/>
      <c r="AS1" s="1161"/>
      <c r="AT1" s="1161"/>
      <c r="AU1" s="1161"/>
      <c r="AV1" s="1161"/>
      <c r="AW1" s="1161"/>
      <c r="AX1" s="1161"/>
      <c r="AY1" s="1161"/>
      <c r="AZ1" s="1161"/>
      <c r="BA1" s="1161"/>
      <c r="BB1" s="1161"/>
      <c r="BC1" s="1161"/>
      <c r="BD1" s="1161"/>
      <c r="BE1" s="1161"/>
      <c r="BF1" s="1161"/>
      <c r="BG1" s="1161"/>
      <c r="BH1" s="1161"/>
      <c r="BI1" s="1161"/>
      <c r="BJ1" s="1161"/>
      <c r="BK1" s="1161"/>
      <c r="BL1" s="1161"/>
      <c r="BM1" s="1161"/>
      <c r="BN1" s="1161"/>
      <c r="BO1" s="1161"/>
      <c r="BP1" s="1161"/>
      <c r="BQ1" s="1161"/>
      <c r="BR1" s="1161"/>
      <c r="BS1" s="1161"/>
      <c r="BT1" s="1161"/>
      <c r="BU1" s="1161"/>
      <c r="BV1" s="1161"/>
      <c r="BW1" s="1161"/>
      <c r="BX1" s="1161"/>
      <c r="BY1" s="1161"/>
      <c r="BZ1" s="1161"/>
      <c r="CA1" s="1161"/>
      <c r="CB1" s="1161"/>
      <c r="CC1" s="1161"/>
      <c r="CD1" s="1161"/>
      <c r="CE1" s="1161"/>
      <c r="CF1" s="1161"/>
      <c r="CG1" s="1161"/>
      <c r="CH1" s="1161"/>
    </row>
    <row r="2" spans="1:115" ht="21.75" customHeight="1">
      <c r="A2" s="1165"/>
      <c r="B2" s="1166"/>
      <c r="C2" s="1166"/>
      <c r="D2" s="1166"/>
      <c r="E2" s="1166"/>
      <c r="F2" s="1166"/>
      <c r="G2" s="1167"/>
      <c r="H2" s="3396"/>
      <c r="I2" s="3397"/>
      <c r="J2" s="3397"/>
      <c r="K2" s="3397"/>
      <c r="L2" s="3397"/>
      <c r="M2" s="3397"/>
      <c r="N2" s="3397"/>
      <c r="O2" s="3397"/>
      <c r="P2" s="3397"/>
      <c r="Q2" s="3397"/>
      <c r="R2" s="3397"/>
      <c r="S2" s="3397"/>
      <c r="T2" s="3397"/>
      <c r="U2" s="3397"/>
      <c r="V2" s="3397"/>
      <c r="W2" s="3397"/>
      <c r="X2" s="3397"/>
      <c r="Y2" s="3397"/>
      <c r="Z2" s="3397"/>
      <c r="AA2" s="3397"/>
      <c r="AB2" s="3397"/>
      <c r="AC2" s="3397"/>
      <c r="AD2" s="3397"/>
      <c r="AE2" s="3397"/>
      <c r="AF2" s="3397"/>
      <c r="AG2" s="3397"/>
      <c r="AH2" s="3397"/>
      <c r="AI2" s="3397"/>
      <c r="AJ2" s="3398"/>
      <c r="AO2" s="1161"/>
      <c r="AP2" s="1161"/>
      <c r="AQ2" s="1161"/>
      <c r="AR2" s="1161"/>
      <c r="AS2" s="116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c r="BP2" s="1161"/>
      <c r="BQ2" s="1161"/>
      <c r="BR2" s="1161"/>
      <c r="BS2" s="1161"/>
      <c r="BT2" s="1161"/>
      <c r="BU2" s="1161"/>
      <c r="BV2" s="1161"/>
      <c r="BW2" s="1161"/>
      <c r="BX2" s="1161"/>
    </row>
    <row r="3" spans="1:115" ht="15" customHeight="1">
      <c r="A3" s="1165"/>
      <c r="B3" s="1166"/>
      <c r="C3" s="1166"/>
      <c r="D3" s="1166"/>
      <c r="E3" s="1166"/>
      <c r="F3" s="1166"/>
      <c r="G3" s="1167"/>
      <c r="H3" s="3399"/>
      <c r="I3" s="3400"/>
      <c r="J3" s="3400"/>
      <c r="K3" s="3400"/>
      <c r="L3" s="3400"/>
      <c r="M3" s="3400"/>
      <c r="N3" s="3400"/>
      <c r="O3" s="3400"/>
      <c r="P3" s="3400"/>
      <c r="Q3" s="3400"/>
      <c r="R3" s="3400"/>
      <c r="S3" s="3400"/>
      <c r="T3" s="3400"/>
      <c r="U3" s="3400"/>
      <c r="V3" s="3400"/>
      <c r="W3" s="3400"/>
      <c r="X3" s="3400"/>
      <c r="Y3" s="3400"/>
      <c r="Z3" s="3400"/>
      <c r="AA3" s="3400"/>
      <c r="AB3" s="3400"/>
      <c r="AC3" s="3400"/>
      <c r="AD3" s="3400"/>
      <c r="AE3" s="3400"/>
      <c r="AF3" s="3400"/>
      <c r="AG3" s="3400"/>
      <c r="AH3" s="3400"/>
      <c r="AI3" s="3400"/>
      <c r="AJ3" s="3401"/>
    </row>
    <row r="4" spans="1:115" ht="12.95" customHeight="1">
      <c r="A4" s="1165"/>
      <c r="B4" s="1166"/>
      <c r="C4" s="1166"/>
      <c r="D4" s="1166"/>
      <c r="E4" s="1166"/>
      <c r="F4" s="1166"/>
      <c r="G4" s="1167"/>
      <c r="H4" s="3411" t="s">
        <v>821</v>
      </c>
      <c r="I4" s="3412"/>
      <c r="J4" s="3412"/>
      <c r="K4" s="3412"/>
      <c r="L4" s="3412"/>
      <c r="M4" s="3412"/>
      <c r="N4" s="3412"/>
      <c r="O4" s="3412"/>
      <c r="P4" s="3412"/>
      <c r="Q4" s="3412"/>
      <c r="R4" s="3412"/>
      <c r="S4" s="3412"/>
      <c r="T4" s="3412"/>
      <c r="U4" s="3412"/>
      <c r="V4" s="3412"/>
      <c r="W4" s="3413" t="s">
        <v>962</v>
      </c>
      <c r="X4" s="3414"/>
      <c r="Y4" s="3414"/>
      <c r="Z4" s="3414"/>
      <c r="AA4" s="3414"/>
      <c r="AB4" s="3414"/>
      <c r="AC4" s="3414"/>
      <c r="AD4" s="3414"/>
      <c r="AE4" s="3414"/>
      <c r="AF4" s="3414"/>
      <c r="AG4" s="3414"/>
      <c r="AH4" s="1168"/>
      <c r="AI4" s="1168"/>
      <c r="AJ4" s="1169"/>
      <c r="AL4" s="1146"/>
      <c r="AM4" s="1077"/>
      <c r="AN4" s="1077"/>
      <c r="AO4" s="1077"/>
      <c r="AP4" s="1077"/>
      <c r="AQ4" s="1077"/>
      <c r="AR4" s="1077"/>
      <c r="AS4" s="1077"/>
      <c r="AT4" s="1077"/>
      <c r="AU4" s="1077"/>
      <c r="AV4" s="1077"/>
      <c r="AW4" s="1147"/>
      <c r="AX4" s="3426" t="s">
        <v>702</v>
      </c>
      <c r="AY4" s="3427"/>
      <c r="AZ4" s="3427"/>
      <c r="BA4" s="3427"/>
      <c r="BB4" s="3427"/>
      <c r="BC4" s="3427"/>
      <c r="BD4" s="3427"/>
      <c r="BE4" s="3427"/>
      <c r="BF4" s="3427"/>
      <c r="BG4" s="3427"/>
      <c r="BH4" s="3427"/>
      <c r="BI4" s="3427"/>
      <c r="BJ4" s="3427"/>
      <c r="BK4" s="3427"/>
      <c r="BL4" s="3427"/>
      <c r="BM4" s="3427"/>
      <c r="BN4" s="3427"/>
      <c r="BO4" s="3427"/>
      <c r="BP4" s="3427"/>
      <c r="BQ4" s="3427"/>
      <c r="BR4" s="3427"/>
      <c r="BS4" s="3427"/>
      <c r="BT4" s="3427"/>
      <c r="BU4" s="3428"/>
    </row>
    <row r="5" spans="1:115" ht="12.95" customHeight="1">
      <c r="A5" s="1165"/>
      <c r="B5" s="1166"/>
      <c r="C5" s="1166"/>
      <c r="D5" s="1166"/>
      <c r="E5" s="1166"/>
      <c r="F5" s="1166"/>
      <c r="G5" s="1167"/>
      <c r="H5" s="3435" t="s">
        <v>963</v>
      </c>
      <c r="I5" s="3436"/>
      <c r="J5" s="3436"/>
      <c r="K5" s="3436"/>
      <c r="L5" s="3436"/>
      <c r="M5" s="3436"/>
      <c r="N5" s="3436"/>
      <c r="O5" s="3436"/>
      <c r="P5" s="3436"/>
      <c r="Q5" s="3436"/>
      <c r="R5" s="3436"/>
      <c r="S5" s="3436"/>
      <c r="T5" s="3436"/>
      <c r="U5" s="3436"/>
      <c r="V5" s="3436"/>
      <c r="W5" s="3436"/>
      <c r="X5" s="3436"/>
      <c r="Y5" s="3436"/>
      <c r="Z5" s="3436"/>
      <c r="AA5" s="3436"/>
      <c r="AB5" s="3436"/>
      <c r="AC5" s="3436"/>
      <c r="AD5" s="3436"/>
      <c r="AE5" s="3436"/>
      <c r="AF5" s="3436"/>
      <c r="AG5" s="3436"/>
      <c r="AH5" s="3436"/>
      <c r="AI5" s="3436"/>
      <c r="AJ5" s="3437"/>
      <c r="AL5" s="1151"/>
      <c r="AM5" s="1152"/>
      <c r="AN5" s="1152"/>
      <c r="AO5" s="1152"/>
      <c r="AP5" s="1152"/>
      <c r="AQ5" s="1152"/>
      <c r="AR5" s="1152"/>
      <c r="AS5" s="1152"/>
      <c r="AT5" s="1152"/>
      <c r="AU5" s="1152"/>
      <c r="AV5" s="1152"/>
      <c r="AW5" s="1152"/>
      <c r="AX5" s="1152"/>
      <c r="AY5" s="1152"/>
      <c r="AZ5" s="1152"/>
      <c r="BA5" s="1152"/>
      <c r="BB5" s="1152"/>
      <c r="BC5" s="1152"/>
      <c r="BD5" s="1152"/>
      <c r="BE5" s="1152"/>
      <c r="BF5" s="1152"/>
      <c r="BG5" s="1152"/>
      <c r="BH5" s="1152"/>
      <c r="BI5" s="1152"/>
      <c r="BJ5" s="1152"/>
      <c r="BK5" s="1152"/>
      <c r="BL5" s="1152"/>
      <c r="BM5" s="1152"/>
      <c r="BN5" s="1152"/>
      <c r="BO5" s="1152"/>
      <c r="BP5" s="1152"/>
      <c r="BQ5" s="1153" t="s">
        <v>0</v>
      </c>
      <c r="BR5" s="1152"/>
      <c r="BS5" s="1152"/>
      <c r="BT5" s="1152"/>
      <c r="BU5" s="1152"/>
    </row>
    <row r="6" spans="1:115" s="1157" customFormat="1" ht="15" customHeight="1">
      <c r="A6" s="1412"/>
      <c r="B6" s="1413"/>
      <c r="C6" s="1413"/>
      <c r="D6" s="1413"/>
      <c r="E6" s="1414"/>
      <c r="F6" s="1414"/>
      <c r="G6" s="1414"/>
      <c r="H6" s="1414"/>
      <c r="I6" s="1414"/>
      <c r="J6" s="1414"/>
      <c r="K6" s="1414"/>
      <c r="L6" s="1414"/>
      <c r="M6" s="1414"/>
      <c r="N6" s="1414"/>
      <c r="O6" s="1414"/>
      <c r="P6" s="1414"/>
      <c r="Q6" s="1414"/>
      <c r="R6" s="1414"/>
      <c r="S6" s="1414"/>
      <c r="T6" s="1414"/>
      <c r="U6" s="1414"/>
      <c r="V6" s="1414"/>
      <c r="W6" s="1414"/>
      <c r="X6" s="1414"/>
      <c r="Y6" s="1404"/>
      <c r="Z6" s="1404"/>
      <c r="AA6" s="1404"/>
      <c r="AB6" s="1404"/>
      <c r="AC6" s="1404"/>
      <c r="AD6" s="1404"/>
      <c r="AE6" s="1415"/>
      <c r="AF6" s="1415"/>
      <c r="AG6" s="1415"/>
      <c r="AH6" s="1415"/>
      <c r="AI6" s="1415"/>
      <c r="AJ6" s="1416"/>
      <c r="AK6" s="1421" t="s">
        <v>848</v>
      </c>
      <c r="AL6" s="1156"/>
      <c r="AM6" s="3429" t="s">
        <v>703</v>
      </c>
      <c r="AN6" s="3430"/>
      <c r="AO6" s="3430"/>
      <c r="AP6" s="3430"/>
      <c r="AQ6" s="3430"/>
      <c r="AR6" s="3430"/>
      <c r="AS6" s="3430"/>
      <c r="AT6" s="3430"/>
      <c r="AU6" s="3430"/>
      <c r="AV6" s="3430"/>
      <c r="AW6" s="1081"/>
      <c r="AX6" s="1081"/>
      <c r="AY6" s="1081"/>
      <c r="AZ6" s="1081"/>
      <c r="BA6" s="1081"/>
      <c r="BB6" s="1081"/>
      <c r="BC6" s="1081"/>
      <c r="BD6" s="1081"/>
      <c r="BE6" s="1081"/>
      <c r="BF6" s="1081"/>
      <c r="BG6" s="1081"/>
      <c r="BH6" s="1081"/>
      <c r="BI6" s="1081"/>
      <c r="BJ6" s="1081"/>
      <c r="BK6" s="1081"/>
      <c r="BL6" s="1081"/>
      <c r="BS6" s="1081"/>
      <c r="BT6" s="1081"/>
      <c r="BU6" s="1081"/>
      <c r="BV6" s="1154"/>
      <c r="BW6" s="1154"/>
      <c r="BX6" s="1154"/>
      <c r="BY6" s="1154"/>
      <c r="BZ6" s="1154"/>
      <c r="CA6" s="1154"/>
      <c r="CB6" s="1154"/>
      <c r="CC6" s="1154"/>
      <c r="CD6" s="1154"/>
      <c r="CE6" s="1154"/>
      <c r="CF6" s="1154"/>
      <c r="CG6" s="1154"/>
      <c r="CH6" s="1154"/>
      <c r="CI6" s="1154"/>
      <c r="CJ6" s="1154"/>
      <c r="CK6" s="1154"/>
      <c r="CL6" s="1154"/>
      <c r="CM6" s="1154"/>
      <c r="CN6" s="1154"/>
      <c r="CO6" s="1154"/>
      <c r="CP6" s="1154"/>
      <c r="CQ6" s="1154"/>
      <c r="CR6" s="1154"/>
      <c r="CS6" s="1154"/>
      <c r="CT6" s="1154"/>
      <c r="CU6" s="1154"/>
      <c r="CV6" s="1154"/>
      <c r="CW6" s="1154"/>
      <c r="CX6" s="1154"/>
      <c r="CY6" s="1154"/>
      <c r="CZ6" s="1154"/>
      <c r="DA6" s="1154"/>
      <c r="DB6" s="1154"/>
      <c r="DC6" s="1154"/>
      <c r="DD6" s="1154"/>
      <c r="DE6" s="1154"/>
      <c r="DF6" s="1154"/>
      <c r="DG6" s="1154"/>
      <c r="DH6" s="1154"/>
      <c r="DI6" s="1154"/>
      <c r="DJ6" s="1154"/>
      <c r="DK6" s="1154"/>
    </row>
    <row r="7" spans="1:115" s="1157" customFormat="1" ht="15" customHeight="1">
      <c r="A7" s="1406"/>
      <c r="B7" s="1407"/>
      <c r="C7" s="1407"/>
      <c r="D7" s="1407"/>
      <c r="E7" s="1417"/>
      <c r="F7" s="1417"/>
      <c r="G7" s="1417"/>
      <c r="H7" s="1417"/>
      <c r="I7" s="1417"/>
      <c r="J7" s="1417"/>
      <c r="K7" s="1417"/>
      <c r="L7" s="1417"/>
      <c r="M7" s="1411"/>
      <c r="N7" s="1411"/>
      <c r="O7" s="1411"/>
      <c r="P7" s="1411"/>
      <c r="Q7" s="1417"/>
      <c r="R7" s="1417"/>
      <c r="S7" s="1417"/>
      <c r="T7" s="1417"/>
      <c r="U7" s="1417"/>
      <c r="V7" s="1417"/>
      <c r="W7" s="1417"/>
      <c r="X7" s="1417"/>
      <c r="Y7" s="3438" t="s">
        <v>19</v>
      </c>
      <c r="Z7" s="3438"/>
      <c r="AA7" s="3438"/>
      <c r="AB7" s="3440" t="str">
        <f>IF('1. Encabezado'!T7="","",'1. Encabezado'!T7)</f>
        <v/>
      </c>
      <c r="AC7" s="3440"/>
      <c r="AD7" s="3440"/>
      <c r="AE7" s="3440"/>
      <c r="AF7" s="3440"/>
      <c r="AG7" s="3440"/>
      <c r="AH7" s="3440"/>
      <c r="AI7" s="1418"/>
      <c r="AJ7" s="1419"/>
      <c r="AK7" s="1422" t="s">
        <v>849</v>
      </c>
      <c r="AL7" s="1156"/>
      <c r="AM7" s="3431" t="s">
        <v>704</v>
      </c>
      <c r="AN7" s="3432"/>
      <c r="AO7" s="3432"/>
      <c r="AP7" s="3432"/>
      <c r="AQ7" s="3432"/>
      <c r="AR7" s="3431" t="s">
        <v>705</v>
      </c>
      <c r="AS7" s="3432"/>
      <c r="AT7" s="3432"/>
      <c r="AU7" s="3432"/>
      <c r="AV7" s="3432"/>
      <c r="AW7" s="1081"/>
      <c r="AX7" s="1081"/>
      <c r="AY7" s="1081" t="s">
        <v>706</v>
      </c>
      <c r="AZ7" s="1081"/>
      <c r="BA7" s="1081"/>
      <c r="BB7" s="1081"/>
      <c r="BC7" s="1081"/>
      <c r="BD7" s="1081"/>
      <c r="BE7" s="1081"/>
      <c r="BF7" s="1081"/>
      <c r="BG7" s="1081"/>
      <c r="BH7" s="1081"/>
      <c r="BI7" s="1081"/>
      <c r="BJ7" s="1158" t="s">
        <v>707</v>
      </c>
      <c r="BK7" s="1159"/>
      <c r="BL7" s="1159" t="s">
        <v>211</v>
      </c>
      <c r="BM7" s="1160"/>
      <c r="BN7" s="3433"/>
      <c r="BO7" s="3433"/>
      <c r="BP7" s="3433"/>
      <c r="BQ7" s="3433"/>
      <c r="BR7" s="1160"/>
      <c r="BS7" s="1113" t="s">
        <v>91</v>
      </c>
      <c r="BT7" s="1081"/>
      <c r="BU7" s="1081"/>
      <c r="BV7" s="1154"/>
      <c r="BW7" s="1154"/>
      <c r="BX7" s="1154"/>
      <c r="BY7" s="1154"/>
      <c r="BZ7" s="1154"/>
      <c r="CA7" s="1154"/>
      <c r="CB7" s="1154"/>
      <c r="CC7" s="1154"/>
      <c r="CD7" s="1154"/>
      <c r="CE7" s="1154"/>
      <c r="CF7" s="1154"/>
      <c r="CG7" s="1154"/>
      <c r="CH7" s="1154"/>
      <c r="CI7" s="1154"/>
      <c r="CJ7" s="1154"/>
      <c r="CK7" s="1154"/>
      <c r="CL7" s="1154"/>
      <c r="CM7" s="1154"/>
      <c r="CN7" s="1154"/>
      <c r="CO7" s="1154"/>
      <c r="CP7" s="1154"/>
      <c r="CQ7" s="1154"/>
      <c r="CR7" s="1154"/>
      <c r="CS7" s="1154"/>
      <c r="CT7" s="1154"/>
      <c r="CU7" s="1154"/>
      <c r="CV7" s="1154"/>
      <c r="CW7" s="1154"/>
      <c r="CX7" s="1154"/>
      <c r="CY7" s="1154"/>
      <c r="CZ7" s="1154"/>
      <c r="DA7" s="1154"/>
      <c r="DB7" s="1154"/>
      <c r="DC7" s="1154"/>
      <c r="DD7" s="1154"/>
      <c r="DE7" s="1154"/>
      <c r="DF7" s="1154"/>
      <c r="DG7" s="1154"/>
      <c r="DH7" s="1154"/>
      <c r="DI7" s="1154"/>
      <c r="DJ7" s="1154"/>
      <c r="DK7" s="1154"/>
    </row>
    <row r="8" spans="1:115" s="1157" customFormat="1" ht="15" customHeight="1">
      <c r="A8" s="1406"/>
      <c r="B8" s="1407"/>
      <c r="C8" s="1407"/>
      <c r="D8" s="1407"/>
      <c r="E8" s="1417"/>
      <c r="F8" s="1417"/>
      <c r="G8" s="1417"/>
      <c r="H8" s="1417"/>
      <c r="I8" s="1417"/>
      <c r="J8" s="1417"/>
      <c r="K8" s="1417"/>
      <c r="L8" s="1417"/>
      <c r="M8" s="1407"/>
      <c r="N8" s="1407"/>
      <c r="O8" s="1407"/>
      <c r="P8" s="1407"/>
      <c r="Q8" s="1417"/>
      <c r="R8" s="1417"/>
      <c r="S8" s="1417"/>
      <c r="T8" s="1417"/>
      <c r="U8" s="1417"/>
      <c r="V8" s="1417"/>
      <c r="W8" s="1417"/>
      <c r="X8" s="1417"/>
      <c r="Y8" s="1407"/>
      <c r="Z8" s="1407"/>
      <c r="AA8" s="1407"/>
      <c r="AB8" s="1407"/>
      <c r="AC8" s="3441" t="str">
        <f>IF(AB7="",AK13,CONCATENATE(AK7," ",AK8," ",AK9," ", AK10))</f>
        <v>Pagina xx de xx</v>
      </c>
      <c r="AD8" s="3441"/>
      <c r="AE8" s="3441"/>
      <c r="AF8" s="3441"/>
      <c r="AG8" s="3441"/>
      <c r="AH8" s="3441"/>
      <c r="AI8" s="1418"/>
      <c r="AJ8" s="1419"/>
      <c r="AK8" s="1423" t="str">
        <f>IF(AB7="","",2)</f>
        <v/>
      </c>
      <c r="AL8" s="1156"/>
      <c r="AM8" s="3434"/>
      <c r="AN8" s="3434"/>
      <c r="AO8" s="3434"/>
      <c r="AP8" s="3434"/>
      <c r="AQ8" s="3434"/>
      <c r="AR8" s="3434"/>
      <c r="AS8" s="3434"/>
      <c r="AT8" s="3434"/>
      <c r="AU8" s="3434"/>
      <c r="AV8" s="3434"/>
      <c r="AW8" s="1081"/>
      <c r="AX8" s="1081"/>
      <c r="AY8" s="1081" t="s">
        <v>708</v>
      </c>
      <c r="AZ8" s="1081"/>
      <c r="BA8" s="1081"/>
      <c r="BB8" s="1081"/>
      <c r="BC8" s="1081"/>
      <c r="BD8" s="1081"/>
      <c r="BE8" s="1081"/>
      <c r="BF8" s="1081"/>
      <c r="BG8" s="1081"/>
      <c r="BH8" s="1081"/>
      <c r="BI8" s="1081"/>
      <c r="BJ8" s="1158" t="s">
        <v>709</v>
      </c>
      <c r="BK8" s="1159"/>
      <c r="BL8" s="1159" t="s">
        <v>211</v>
      </c>
      <c r="BM8" s="1160"/>
      <c r="BN8" s="3433"/>
      <c r="BO8" s="3433"/>
      <c r="BP8" s="3433"/>
      <c r="BQ8" s="3433"/>
      <c r="BR8" s="1160"/>
      <c r="BS8" s="1113" t="s">
        <v>248</v>
      </c>
      <c r="BT8" s="1081"/>
      <c r="BU8" s="1081"/>
      <c r="BV8" s="1154"/>
      <c r="BW8" s="1154"/>
      <c r="BX8" s="1154"/>
      <c r="BY8" s="1154"/>
      <c r="BZ8" s="1154"/>
      <c r="CA8" s="1154"/>
      <c r="CB8" s="1154"/>
      <c r="CC8" s="1154"/>
      <c r="CD8" s="1154"/>
      <c r="CE8" s="1154"/>
      <c r="CF8" s="1154"/>
      <c r="CG8" s="1154"/>
      <c r="CH8" s="1154"/>
      <c r="CI8" s="1154"/>
      <c r="CJ8" s="1154"/>
      <c r="CK8" s="1154"/>
      <c r="CL8" s="1154"/>
      <c r="CM8" s="1154"/>
      <c r="CN8" s="1154"/>
      <c r="CO8" s="1154"/>
      <c r="CP8" s="1154"/>
      <c r="CQ8" s="1154"/>
      <c r="CR8" s="1154"/>
      <c r="CS8" s="1154"/>
      <c r="CT8" s="1154"/>
      <c r="CU8" s="1154"/>
      <c r="CV8" s="1154"/>
      <c r="CW8" s="1154"/>
      <c r="CX8" s="1154"/>
      <c r="CY8" s="1154"/>
      <c r="CZ8" s="1154"/>
      <c r="DA8" s="1154"/>
      <c r="DB8" s="1154"/>
      <c r="DC8" s="1154"/>
      <c r="DD8" s="1154"/>
      <c r="DE8" s="1154"/>
      <c r="DF8" s="1154"/>
      <c r="DG8" s="1154"/>
      <c r="DH8" s="1154"/>
      <c r="DI8" s="1154"/>
      <c r="DJ8" s="1154"/>
      <c r="DK8" s="1154"/>
    </row>
    <row r="9" spans="1:115" s="1157" customFormat="1" ht="15" customHeight="1">
      <c r="A9" s="1408"/>
      <c r="B9" s="1409"/>
      <c r="C9" s="1409"/>
      <c r="D9" s="1409"/>
      <c r="E9" s="1420"/>
      <c r="F9" s="1420"/>
      <c r="G9" s="1420"/>
      <c r="H9" s="1420"/>
      <c r="I9" s="1420"/>
      <c r="J9" s="1420"/>
      <c r="K9" s="1420"/>
      <c r="L9" s="1420"/>
      <c r="M9" s="1420"/>
      <c r="N9" s="1420"/>
      <c r="O9" s="1420"/>
      <c r="P9" s="1420"/>
      <c r="Q9" s="1420"/>
      <c r="R9" s="1420"/>
      <c r="S9" s="1420"/>
      <c r="T9" s="1420"/>
      <c r="U9" s="1420"/>
      <c r="V9" s="1420"/>
      <c r="W9" s="1420"/>
      <c r="X9" s="1420"/>
      <c r="Y9" s="1410"/>
      <c r="Z9" s="1410"/>
      <c r="AA9" s="1410"/>
      <c r="AB9" s="1410"/>
      <c r="AC9" s="1410"/>
      <c r="AD9" s="1410"/>
      <c r="AE9" s="1418"/>
      <c r="AF9" s="1418"/>
      <c r="AG9" s="1418"/>
      <c r="AH9" s="1418"/>
      <c r="AI9" s="1418"/>
      <c r="AJ9" s="1419"/>
      <c r="AK9" s="1424" t="s">
        <v>850</v>
      </c>
      <c r="AL9" s="1156"/>
      <c r="AM9" s="3434"/>
      <c r="AN9" s="3434"/>
      <c r="AO9" s="3434"/>
      <c r="AP9" s="3434"/>
      <c r="AQ9" s="3434"/>
      <c r="AR9" s="3434"/>
      <c r="AS9" s="3434"/>
      <c r="AT9" s="3434"/>
      <c r="AU9" s="3434"/>
      <c r="AV9" s="3434"/>
      <c r="AW9" s="1081"/>
      <c r="AX9" s="1081"/>
      <c r="AY9" s="1081"/>
      <c r="AZ9" s="1081"/>
      <c r="BA9" s="1081"/>
      <c r="BB9" s="1081"/>
      <c r="BC9" s="1081"/>
      <c r="BD9" s="1081"/>
      <c r="BE9" s="1081"/>
      <c r="BF9" s="1081"/>
      <c r="BG9" s="1081"/>
      <c r="BH9" s="1081"/>
      <c r="BI9" s="1081"/>
      <c r="BJ9" s="1081"/>
      <c r="BK9" s="1081"/>
      <c r="BL9" s="1081"/>
      <c r="BS9" s="1081"/>
      <c r="BT9" s="1081"/>
      <c r="BU9" s="1081"/>
      <c r="BV9" s="1154"/>
      <c r="BW9" s="1154"/>
      <c r="BX9" s="1154"/>
      <c r="BY9" s="1154"/>
      <c r="BZ9" s="1154"/>
      <c r="CA9" s="1154"/>
      <c r="CB9" s="1154"/>
      <c r="CC9" s="1154"/>
      <c r="CD9" s="1154"/>
      <c r="CE9" s="1154"/>
      <c r="CF9" s="1154"/>
      <c r="CG9" s="1154"/>
      <c r="CH9" s="1154"/>
      <c r="CI9" s="1154"/>
      <c r="CJ9" s="1154"/>
      <c r="CK9" s="1154"/>
      <c r="CL9" s="1154"/>
      <c r="CM9" s="1154"/>
      <c r="CN9" s="1154"/>
      <c r="CO9" s="1154"/>
      <c r="CP9" s="1154"/>
      <c r="CQ9" s="1154"/>
      <c r="CR9" s="1154"/>
      <c r="CS9" s="1154"/>
      <c r="CT9" s="1154"/>
      <c r="CU9" s="1154"/>
      <c r="CV9" s="1154"/>
      <c r="CW9" s="1154"/>
      <c r="CX9" s="1154"/>
      <c r="CY9" s="1154"/>
      <c r="CZ9" s="1154"/>
      <c r="DA9" s="1154"/>
      <c r="DB9" s="1154"/>
      <c r="DC9" s="1154"/>
      <c r="DD9" s="1154"/>
      <c r="DE9" s="1154"/>
      <c r="DF9" s="1154"/>
      <c r="DG9" s="1154"/>
      <c r="DH9" s="1154"/>
      <c r="DI9" s="1154"/>
      <c r="DJ9" s="1154"/>
      <c r="DK9" s="1154"/>
    </row>
    <row r="10" spans="1:115" s="1170" customFormat="1" ht="27" customHeight="1">
      <c r="A10" s="3408" t="s">
        <v>823</v>
      </c>
      <c r="B10" s="3409"/>
      <c r="C10" s="3409"/>
      <c r="D10" s="3409"/>
      <c r="E10" s="3409"/>
      <c r="F10" s="3409"/>
      <c r="G10" s="3409"/>
      <c r="H10" s="3409"/>
      <c r="I10" s="3409"/>
      <c r="J10" s="3409"/>
      <c r="K10" s="3409"/>
      <c r="L10" s="3409"/>
      <c r="M10" s="3409"/>
      <c r="N10" s="3409"/>
      <c r="O10" s="3409"/>
      <c r="P10" s="3409"/>
      <c r="Q10" s="3409"/>
      <c r="R10" s="3409"/>
      <c r="S10" s="3409"/>
      <c r="T10" s="3409"/>
      <c r="U10" s="3409"/>
      <c r="V10" s="3409"/>
      <c r="W10" s="3409"/>
      <c r="X10" s="3409"/>
      <c r="Y10" s="3409"/>
      <c r="Z10" s="3409"/>
      <c r="AA10" s="3409"/>
      <c r="AB10" s="3409"/>
      <c r="AC10" s="3409"/>
      <c r="AD10" s="3409"/>
      <c r="AE10" s="3409"/>
      <c r="AF10" s="3409"/>
      <c r="AG10" s="3409"/>
      <c r="AH10" s="3409"/>
      <c r="AI10" s="3409"/>
      <c r="AJ10" s="3410"/>
      <c r="AK10" s="1424">
        <f>'1. Encabezado'!AB10</f>
        <v>2</v>
      </c>
      <c r="AL10" s="1156"/>
      <c r="AM10" s="3439"/>
      <c r="AN10" s="3439"/>
      <c r="AO10" s="3439"/>
      <c r="AP10" s="3439"/>
      <c r="AQ10" s="3439"/>
      <c r="AR10" s="3439"/>
      <c r="AS10" s="3439"/>
      <c r="AT10" s="3439"/>
      <c r="AU10" s="3439"/>
      <c r="AV10" s="3439"/>
      <c r="AW10" s="1081"/>
      <c r="AX10" s="1081"/>
      <c r="AY10" s="1081"/>
      <c r="AZ10" s="1081"/>
      <c r="BA10" s="1081"/>
      <c r="BB10" s="1081"/>
      <c r="BC10" s="1081"/>
      <c r="BD10" s="1081"/>
      <c r="BE10" s="1081"/>
      <c r="BF10" s="1081"/>
      <c r="BG10" s="1081"/>
      <c r="BH10" s="1081"/>
      <c r="BI10" s="1081"/>
      <c r="BJ10" s="1081"/>
      <c r="BK10" s="1081"/>
      <c r="BL10" s="1081"/>
      <c r="BM10" s="1157"/>
      <c r="BN10" s="1157"/>
      <c r="BO10" s="1157"/>
      <c r="BP10" s="1157"/>
      <c r="BQ10" s="1157"/>
      <c r="BR10" s="1157"/>
      <c r="BS10" s="1081"/>
      <c r="BT10" s="1081"/>
      <c r="BU10" s="1081"/>
    </row>
    <row r="11" spans="1:115" s="1170" customFormat="1" ht="15" customHeight="1">
      <c r="A11" s="1439"/>
      <c r="B11" s="1440"/>
      <c r="C11" s="1440"/>
      <c r="D11" s="1440"/>
      <c r="E11" s="1440"/>
      <c r="F11" s="1440"/>
      <c r="G11" s="1440"/>
      <c r="H11" s="1440"/>
      <c r="I11" s="1440"/>
      <c r="J11" s="1440"/>
      <c r="K11" s="1440"/>
      <c r="L11" s="1440"/>
      <c r="M11" s="1440"/>
      <c r="N11" s="1440"/>
      <c r="O11" s="1440"/>
      <c r="P11" s="1440"/>
      <c r="Q11" s="1440"/>
      <c r="R11" s="1440"/>
      <c r="S11" s="1440"/>
      <c r="T11" s="1440"/>
      <c r="U11" s="1440"/>
      <c r="V11" s="1440"/>
      <c r="W11" s="1440"/>
      <c r="X11" s="1440"/>
      <c r="Y11" s="1440"/>
      <c r="Z11" s="1440"/>
      <c r="AA11" s="1440"/>
      <c r="AB11" s="1440"/>
      <c r="AC11" s="1440"/>
      <c r="AD11" s="1440"/>
      <c r="AE11" s="1440"/>
      <c r="AF11" s="1440"/>
      <c r="AG11" s="1440"/>
      <c r="AH11" s="1440"/>
      <c r="AI11" s="1440"/>
      <c r="AJ11" s="1441"/>
      <c r="AK11" s="1424"/>
      <c r="AL11" s="1157"/>
      <c r="AM11" s="1438"/>
      <c r="AN11" s="1438"/>
      <c r="AO11" s="1438"/>
      <c r="AP11" s="1438"/>
      <c r="AQ11" s="1438"/>
      <c r="AR11" s="1438"/>
      <c r="AS11" s="1438"/>
      <c r="AT11" s="1438"/>
      <c r="AU11" s="1438"/>
      <c r="AV11" s="1438"/>
      <c r="AW11" s="1081"/>
      <c r="AX11" s="1081"/>
      <c r="AY11" s="1081"/>
      <c r="AZ11" s="1081"/>
      <c r="BA11" s="1081"/>
      <c r="BB11" s="1081"/>
      <c r="BC11" s="1081"/>
      <c r="BD11" s="1081"/>
      <c r="BE11" s="1081"/>
      <c r="BF11" s="1081"/>
      <c r="BG11" s="1081"/>
      <c r="BH11" s="1081"/>
      <c r="BI11" s="1081"/>
      <c r="BJ11" s="1081"/>
      <c r="BK11" s="1081"/>
      <c r="BL11" s="1081"/>
      <c r="BM11" s="1157"/>
      <c r="BN11" s="1157"/>
      <c r="BO11" s="1157"/>
      <c r="BP11" s="1157"/>
      <c r="BQ11" s="1157"/>
      <c r="BR11" s="1157"/>
      <c r="BS11" s="1081"/>
      <c r="BT11" s="1081"/>
      <c r="BU11" s="1081"/>
    </row>
    <row r="12" spans="1:115" s="1170" customFormat="1" ht="15" customHeight="1">
      <c r="A12" s="1439"/>
      <c r="B12" s="1440"/>
      <c r="C12" s="1440"/>
      <c r="D12" s="1440"/>
      <c r="E12" s="1440"/>
      <c r="F12" s="1440"/>
      <c r="G12" s="1440"/>
      <c r="H12" s="1440"/>
      <c r="I12" s="1440"/>
      <c r="J12" s="1440"/>
      <c r="K12" s="1446"/>
      <c r="L12" s="1446"/>
      <c r="M12" s="3402" t="s">
        <v>824</v>
      </c>
      <c r="N12" s="3403"/>
      <c r="O12" s="3403"/>
      <c r="P12" s="3403"/>
      <c r="Q12" s="3403"/>
      <c r="R12" s="3403"/>
      <c r="S12" s="3403"/>
      <c r="T12" s="3403"/>
      <c r="U12" s="3403"/>
      <c r="V12" s="3403"/>
      <c r="W12" s="3404"/>
      <c r="X12" s="1440"/>
      <c r="Y12" s="1440"/>
      <c r="Z12" s="1440"/>
      <c r="AA12" s="1440"/>
      <c r="AB12" s="1440"/>
      <c r="AC12" s="1440"/>
      <c r="AD12" s="1440"/>
      <c r="AE12" s="1440"/>
      <c r="AF12" s="1440"/>
      <c r="AG12" s="1440"/>
      <c r="AH12" s="1440"/>
      <c r="AI12" s="1440"/>
      <c r="AJ12" s="1441"/>
      <c r="AK12" s="1424"/>
      <c r="AL12" s="1157"/>
      <c r="AM12" s="1438"/>
      <c r="AN12" s="1438"/>
      <c r="AO12" s="1438"/>
      <c r="AP12" s="1438"/>
      <c r="AQ12" s="1438"/>
      <c r="AR12" s="1438"/>
      <c r="AS12" s="1438"/>
      <c r="AT12" s="1438"/>
      <c r="AU12" s="1438"/>
      <c r="AV12" s="1438"/>
      <c r="AW12" s="1081"/>
      <c r="AX12" s="1081"/>
      <c r="AY12" s="1081"/>
      <c r="AZ12" s="1081"/>
      <c r="BA12" s="1081"/>
      <c r="BB12" s="1081"/>
      <c r="BC12" s="1081"/>
      <c r="BD12" s="1081"/>
      <c r="BE12" s="1081"/>
      <c r="BF12" s="1081"/>
      <c r="BG12" s="1081"/>
      <c r="BH12" s="1081"/>
      <c r="BI12" s="1081"/>
      <c r="BJ12" s="1081"/>
      <c r="BK12" s="1081"/>
      <c r="BL12" s="1081"/>
      <c r="BM12" s="1157"/>
      <c r="BN12" s="1157"/>
      <c r="BO12" s="1157"/>
      <c r="BP12" s="1157"/>
      <c r="BQ12" s="1157"/>
      <c r="BR12" s="1157"/>
      <c r="BS12" s="1081"/>
      <c r="BT12" s="1081"/>
      <c r="BU12" s="1081"/>
    </row>
    <row r="13" spans="1:115" ht="15" customHeight="1">
      <c r="A13" s="1439"/>
      <c r="B13" s="1440"/>
      <c r="C13" s="1440"/>
      <c r="D13" s="1440"/>
      <c r="E13" s="1440"/>
      <c r="F13" s="1440"/>
      <c r="G13" s="1440"/>
      <c r="H13" s="1440"/>
      <c r="I13" s="1440"/>
      <c r="J13" s="1440"/>
      <c r="M13" s="3415"/>
      <c r="N13" s="3416"/>
      <c r="O13" s="3416"/>
      <c r="P13" s="3416"/>
      <c r="Q13" s="3416"/>
      <c r="R13" s="3416"/>
      <c r="S13" s="3416"/>
      <c r="T13" s="3416"/>
      <c r="U13" s="3416"/>
      <c r="V13" s="3416"/>
      <c r="W13" s="3417"/>
      <c r="X13" s="1440"/>
      <c r="Y13" s="1440"/>
      <c r="Z13" s="1440"/>
      <c r="AA13" s="1440"/>
      <c r="AB13" s="1440"/>
      <c r="AC13" s="1440"/>
      <c r="AD13" s="1440"/>
      <c r="AE13" s="1440"/>
      <c r="AF13" s="1440"/>
      <c r="AG13" s="1440"/>
      <c r="AH13" s="1440"/>
      <c r="AI13" s="1440"/>
      <c r="AJ13" s="1441"/>
      <c r="AK13" s="1425" t="s">
        <v>851</v>
      </c>
      <c r="AL13" s="1078"/>
      <c r="AM13" s="1078"/>
      <c r="AN13" s="1078"/>
      <c r="AO13" s="1078"/>
      <c r="AP13" s="1078"/>
      <c r="AQ13" s="1078"/>
      <c r="AR13" s="1078"/>
      <c r="AS13" s="1078"/>
      <c r="AT13" s="1078"/>
      <c r="AU13" s="1078"/>
      <c r="AV13" s="1078"/>
      <c r="AW13" s="1078"/>
      <c r="AX13" s="1078"/>
      <c r="AY13" s="1078"/>
      <c r="AZ13" s="1078"/>
      <c r="BA13" s="1078"/>
      <c r="BB13" s="1078"/>
      <c r="BC13" s="1078"/>
      <c r="BD13" s="1078"/>
      <c r="BE13" s="1078"/>
      <c r="BF13" s="1078"/>
      <c r="BG13" s="1078"/>
      <c r="BH13" s="1078"/>
      <c r="BI13" s="1078"/>
      <c r="BJ13" s="1078"/>
      <c r="BK13" s="1078"/>
      <c r="BL13" s="1078"/>
      <c r="BM13" s="1078"/>
      <c r="BN13" s="1078"/>
      <c r="BO13" s="1078"/>
      <c r="BP13" s="1078"/>
      <c r="BQ13" s="1078"/>
      <c r="BR13" s="1078"/>
      <c r="BS13" s="1148"/>
      <c r="BT13" s="1148"/>
      <c r="BU13" s="1148"/>
    </row>
    <row r="14" spans="1:115" ht="15" customHeight="1">
      <c r="A14" s="1439"/>
      <c r="B14" s="1440"/>
      <c r="C14" s="1440"/>
      <c r="D14" s="1440"/>
      <c r="E14" s="1440"/>
      <c r="F14" s="1440"/>
      <c r="G14" s="1440"/>
      <c r="H14" s="1440"/>
      <c r="I14" s="1440"/>
      <c r="J14" s="1440"/>
      <c r="K14" s="1440"/>
      <c r="L14" s="1440"/>
      <c r="M14" s="1440"/>
      <c r="N14" s="1440"/>
      <c r="O14" s="1440"/>
      <c r="P14" s="1440"/>
      <c r="Q14" s="1440"/>
      <c r="R14" s="1440"/>
      <c r="S14" s="1440"/>
      <c r="T14" s="1440"/>
      <c r="U14" s="1440"/>
      <c r="V14" s="1440"/>
      <c r="W14" s="1440"/>
      <c r="X14" s="1440"/>
      <c r="Y14" s="1440"/>
      <c r="Z14" s="1440"/>
      <c r="AA14" s="1440"/>
      <c r="AB14" s="1440"/>
      <c r="AC14" s="1440"/>
      <c r="AD14" s="1440"/>
      <c r="AE14" s="1440"/>
      <c r="AF14" s="1440"/>
      <c r="AG14" s="1440"/>
      <c r="AH14" s="1440"/>
      <c r="AI14" s="1440"/>
      <c r="AJ14" s="1441"/>
      <c r="BC14" s="1078"/>
      <c r="BD14" s="1078"/>
      <c r="BE14" s="1078"/>
      <c r="BF14" s="1078"/>
      <c r="BG14" s="1078"/>
      <c r="BH14" s="1078"/>
      <c r="BI14" s="1078"/>
      <c r="BJ14" s="1078"/>
      <c r="BK14" s="1078"/>
      <c r="BL14" s="1078"/>
      <c r="BM14" s="1078"/>
    </row>
    <row r="15" spans="1:115" ht="15" customHeight="1">
      <c r="A15" s="1442"/>
      <c r="B15" s="1155"/>
      <c r="C15" s="1155"/>
      <c r="D15" s="1155"/>
      <c r="E15" s="1155"/>
      <c r="F15" s="1155"/>
      <c r="G15" s="1155"/>
      <c r="H15" s="1155"/>
      <c r="I15" s="1155"/>
      <c r="J15" s="1155"/>
      <c r="K15" s="1155"/>
      <c r="L15" s="1155"/>
      <c r="M15" s="1443"/>
      <c r="N15" s="1154"/>
      <c r="O15" s="1154"/>
      <c r="P15" s="1154"/>
      <c r="Q15" s="1154"/>
      <c r="R15" s="1154"/>
      <c r="S15" s="1154"/>
      <c r="T15" s="1154"/>
      <c r="U15" s="1154"/>
      <c r="V15" s="1154"/>
      <c r="W15" s="1154"/>
      <c r="X15" s="1154"/>
      <c r="Y15" s="1444"/>
      <c r="Z15" s="1444"/>
      <c r="AA15" s="1444"/>
      <c r="AB15" s="1444"/>
      <c r="AC15" s="1444"/>
      <c r="AD15" s="1444"/>
      <c r="AE15" s="1444"/>
      <c r="AF15" s="1444"/>
      <c r="AG15" s="1444"/>
      <c r="AH15" s="1444"/>
      <c r="AI15" s="1444"/>
      <c r="AJ15" s="1445"/>
      <c r="AL15" s="1155" t="s">
        <v>825</v>
      </c>
    </row>
    <row r="16" spans="1:115" ht="15" customHeight="1">
      <c r="A16" s="1149"/>
      <c r="B16" s="1171"/>
      <c r="C16" s="1171"/>
      <c r="E16" s="1172" t="s">
        <v>706</v>
      </c>
      <c r="F16" s="1081"/>
      <c r="G16" s="1081"/>
      <c r="H16" s="1081"/>
      <c r="I16" s="1081"/>
      <c r="J16" s="1081"/>
      <c r="K16" s="1081"/>
      <c r="O16" s="1157"/>
      <c r="P16" s="1157"/>
      <c r="Q16" s="1157"/>
      <c r="R16" s="1157"/>
      <c r="S16" s="1157"/>
      <c r="T16" s="1157"/>
      <c r="U16" s="3405" t="s">
        <v>710</v>
      </c>
      <c r="V16" s="3406"/>
      <c r="W16" s="3406"/>
      <c r="X16" s="3406"/>
      <c r="Y16" s="3406"/>
      <c r="Z16" s="3406"/>
      <c r="AA16" s="3406"/>
      <c r="AB16" s="3406"/>
      <c r="AC16" s="3406"/>
      <c r="AD16" s="3406"/>
      <c r="AE16" s="3406"/>
      <c r="AF16" s="3407"/>
      <c r="AJ16" s="1150"/>
      <c r="AL16" s="1173" t="s">
        <v>715</v>
      </c>
      <c r="AM16" s="1173"/>
      <c r="AN16" s="1173"/>
      <c r="AO16" s="1173"/>
      <c r="AP16" s="1173"/>
      <c r="AQ16" s="1173"/>
    </row>
    <row r="17" spans="1:73" ht="15" customHeight="1">
      <c r="A17" s="1149"/>
      <c r="B17" s="1171"/>
      <c r="C17" s="1171"/>
      <c r="E17" s="1158" t="s">
        <v>707</v>
      </c>
      <c r="F17" s="1159" t="s">
        <v>211</v>
      </c>
      <c r="G17" s="3392">
        <f>+BN7/1000</f>
        <v>0</v>
      </c>
      <c r="H17" s="3392"/>
      <c r="I17" s="3392"/>
      <c r="J17" s="3392"/>
      <c r="K17" s="1159" t="s">
        <v>714</v>
      </c>
      <c r="O17" s="1171"/>
      <c r="P17" s="1171"/>
      <c r="Q17" s="1171"/>
      <c r="R17" s="1171"/>
      <c r="S17" s="1171"/>
      <c r="T17" s="1171"/>
      <c r="U17" s="3423" t="s">
        <v>711</v>
      </c>
      <c r="V17" s="3424"/>
      <c r="W17" s="3424"/>
      <c r="X17" s="3424"/>
      <c r="Y17" s="3424"/>
      <c r="Z17" s="3424"/>
      <c r="AA17" s="3424"/>
      <c r="AB17" s="3424"/>
      <c r="AC17" s="3424"/>
      <c r="AD17" s="3424"/>
      <c r="AE17" s="3424"/>
      <c r="AF17" s="3425"/>
      <c r="AJ17" s="1150"/>
      <c r="AM17" s="1175"/>
    </row>
    <row r="18" spans="1:73" ht="15" customHeight="1">
      <c r="A18" s="1149"/>
      <c r="E18" s="1081"/>
      <c r="F18" s="1081"/>
      <c r="G18" s="1174"/>
      <c r="H18" s="1174"/>
      <c r="I18" s="1174"/>
      <c r="J18" s="1174"/>
      <c r="K18" s="1081"/>
      <c r="N18" s="1081"/>
      <c r="O18" s="1081"/>
      <c r="P18" s="1081"/>
      <c r="Q18" s="1081"/>
      <c r="R18" s="1081"/>
      <c r="S18" s="1081"/>
      <c r="T18" s="1081"/>
      <c r="U18" s="3418" t="s">
        <v>712</v>
      </c>
      <c r="V18" s="3419"/>
      <c r="W18" s="3419"/>
      <c r="X18" s="3419"/>
      <c r="Y18" s="3419"/>
      <c r="Z18" s="3420"/>
      <c r="AA18" s="3421" t="s">
        <v>713</v>
      </c>
      <c r="AB18" s="3419"/>
      <c r="AC18" s="3419"/>
      <c r="AD18" s="3419"/>
      <c r="AE18" s="3419"/>
      <c r="AF18" s="3422"/>
      <c r="AJ18" s="1100"/>
      <c r="AM18" s="1175"/>
    </row>
    <row r="19" spans="1:73" ht="15" customHeight="1">
      <c r="A19" s="1149"/>
      <c r="E19" s="1172" t="s">
        <v>708</v>
      </c>
      <c r="F19" s="1081"/>
      <c r="G19" s="1174"/>
      <c r="H19" s="1174"/>
      <c r="I19" s="1174"/>
      <c r="J19" s="1174"/>
      <c r="K19" s="1081"/>
      <c r="N19" s="1081"/>
      <c r="U19" s="3418">
        <f>+AM8/1000</f>
        <v>0</v>
      </c>
      <c r="V19" s="3419"/>
      <c r="W19" s="3419"/>
      <c r="X19" s="3419"/>
      <c r="Y19" s="3419"/>
      <c r="Z19" s="3420"/>
      <c r="AA19" s="3421">
        <f>+AR8/1000</f>
        <v>0</v>
      </c>
      <c r="AB19" s="3419"/>
      <c r="AC19" s="3419"/>
      <c r="AD19" s="3419"/>
      <c r="AE19" s="3419"/>
      <c r="AF19" s="3422"/>
      <c r="AJ19" s="1150"/>
      <c r="AM19" s="1175"/>
    </row>
    <row r="20" spans="1:73" ht="15" customHeight="1">
      <c r="A20" s="1149"/>
      <c r="E20" s="1158" t="s">
        <v>709</v>
      </c>
      <c r="F20" s="1159" t="s">
        <v>211</v>
      </c>
      <c r="G20" s="3392">
        <f>+BN8/1000000</f>
        <v>0</v>
      </c>
      <c r="H20" s="3392"/>
      <c r="I20" s="3392"/>
      <c r="J20" s="3392"/>
      <c r="K20" s="1159" t="s">
        <v>716</v>
      </c>
      <c r="N20" s="1081"/>
      <c r="U20" s="3418">
        <f>+AM9/1000</f>
        <v>0</v>
      </c>
      <c r="V20" s="3419"/>
      <c r="W20" s="3419"/>
      <c r="X20" s="3419"/>
      <c r="Y20" s="3419"/>
      <c r="Z20" s="3420"/>
      <c r="AA20" s="3421">
        <f>+AR9/1000</f>
        <v>0</v>
      </c>
      <c r="AB20" s="3419"/>
      <c r="AC20" s="3419"/>
      <c r="AD20" s="3419"/>
      <c r="AE20" s="3419"/>
      <c r="AF20" s="3422"/>
      <c r="AJ20" s="1150"/>
    </row>
    <row r="21" spans="1:73" ht="15" customHeight="1">
      <c r="A21" s="1149"/>
      <c r="N21" s="1081"/>
      <c r="U21" s="3442">
        <f>+AM10/1000</f>
        <v>0</v>
      </c>
      <c r="V21" s="3443"/>
      <c r="W21" s="3443"/>
      <c r="X21" s="3443"/>
      <c r="Y21" s="3443"/>
      <c r="Z21" s="3444"/>
      <c r="AA21" s="3445">
        <f>+AR10/1000</f>
        <v>0</v>
      </c>
      <c r="AB21" s="3443"/>
      <c r="AC21" s="3443"/>
      <c r="AD21" s="3443"/>
      <c r="AE21" s="3443"/>
      <c r="AF21" s="3446"/>
      <c r="AJ21" s="1150"/>
      <c r="AL21" s="1177"/>
      <c r="AM21" s="1177"/>
      <c r="AN21" s="1177"/>
      <c r="AO21" s="1177"/>
      <c r="AP21" s="1177"/>
      <c r="AQ21" s="1177"/>
      <c r="AR21" s="1177"/>
      <c r="AS21" s="1177"/>
      <c r="AT21" s="1177"/>
      <c r="AU21" s="1177"/>
      <c r="AV21" s="1177"/>
      <c r="AW21" s="1177"/>
      <c r="AX21" s="1177"/>
      <c r="AY21" s="1177"/>
      <c r="AZ21" s="1177"/>
      <c r="BA21" s="1177"/>
      <c r="BB21" s="1177"/>
      <c r="BC21" s="1177"/>
      <c r="BD21" s="1177"/>
      <c r="BE21" s="1177"/>
      <c r="BF21" s="1177"/>
      <c r="BG21" s="1177"/>
      <c r="BH21" s="1177"/>
      <c r="BI21" s="1177"/>
      <c r="BJ21" s="1177"/>
      <c r="BK21" s="1177"/>
      <c r="BL21" s="1177"/>
      <c r="BM21" s="1177"/>
      <c r="BN21" s="1177"/>
      <c r="BO21" s="1177"/>
      <c r="BP21" s="1177"/>
      <c r="BQ21" s="1177"/>
      <c r="BR21" s="1177"/>
      <c r="BS21" s="1177"/>
      <c r="BT21" s="1177"/>
      <c r="BU21" s="1177"/>
    </row>
    <row r="22" spans="1:73" ht="15" customHeight="1">
      <c r="A22" s="1149"/>
      <c r="N22" s="1081"/>
      <c r="U22" s="3447" t="str">
        <f>IF(OR(G20="",G20=0),"",IF(U21="",(U19-G17)/G20,((AVERAGE(U19:W21)-G17)/G20)))</f>
        <v/>
      </c>
      <c r="V22" s="3448"/>
      <c r="W22" s="3448"/>
      <c r="X22" s="3448"/>
      <c r="Y22" s="3448"/>
      <c r="Z22" s="3449"/>
      <c r="AA22" s="3450" t="str">
        <f>IF(OR(G20="",G20=0),"",IF(AA21="",(AA19-G17)/G20,((AVERAGE(AA19:AC21)-G17)/G20)))</f>
        <v/>
      </c>
      <c r="AB22" s="3448"/>
      <c r="AC22" s="3448"/>
      <c r="AD22" s="3448"/>
      <c r="AE22" s="3448"/>
      <c r="AF22" s="3451"/>
      <c r="AJ22" s="1150"/>
    </row>
    <row r="23" spans="1:73" ht="15" customHeight="1">
      <c r="A23" s="1149"/>
      <c r="N23" s="1081"/>
      <c r="V23" s="1081"/>
      <c r="W23" s="1081"/>
      <c r="X23" s="1148"/>
      <c r="Y23" s="1148"/>
      <c r="Z23" s="1148"/>
      <c r="AA23" s="1148"/>
      <c r="AB23" s="1148"/>
      <c r="AC23" s="1148"/>
      <c r="AD23" s="1148"/>
      <c r="AE23" s="1148"/>
      <c r="AF23" s="1148"/>
      <c r="AG23" s="1148"/>
      <c r="AH23" s="1148"/>
      <c r="AI23" s="1148"/>
      <c r="AJ23" s="1150"/>
    </row>
    <row r="24" spans="1:73" s="1177" customFormat="1" ht="15" customHeight="1">
      <c r="A24" s="1149"/>
      <c r="B24" s="1078"/>
      <c r="C24" s="1078"/>
      <c r="D24" s="1078"/>
      <c r="E24" s="1158"/>
      <c r="F24" s="1159"/>
      <c r="G24" s="1434"/>
      <c r="H24" s="1434"/>
      <c r="I24" s="1434"/>
      <c r="J24" s="1434"/>
      <c r="K24" s="1159"/>
      <c r="L24" s="1078"/>
      <c r="M24" s="1078"/>
      <c r="N24" s="1081"/>
      <c r="O24" s="1078"/>
      <c r="P24" s="1078"/>
      <c r="Q24" s="1078"/>
      <c r="R24" s="1078"/>
      <c r="S24" s="1078"/>
      <c r="T24" s="1078"/>
      <c r="U24" s="1078"/>
      <c r="V24" s="1081"/>
      <c r="W24" s="1081"/>
      <c r="X24" s="1148"/>
      <c r="Y24" s="1148"/>
      <c r="Z24" s="1148"/>
      <c r="AA24" s="1148"/>
      <c r="AB24" s="1148"/>
      <c r="AC24" s="1148"/>
      <c r="AD24" s="1148"/>
      <c r="AE24" s="1148"/>
      <c r="AF24" s="1148"/>
      <c r="AG24" s="1148"/>
      <c r="AH24" s="1148"/>
      <c r="AI24" s="1148"/>
      <c r="AJ24" s="1150"/>
      <c r="AL24" s="1155"/>
      <c r="AM24" s="1155"/>
      <c r="AN24" s="1155"/>
      <c r="AO24" s="1155"/>
      <c r="AP24" s="1155"/>
      <c r="AQ24" s="1155"/>
      <c r="AR24" s="1155"/>
      <c r="AS24" s="1155"/>
      <c r="AT24" s="1155"/>
      <c r="AU24" s="1155"/>
      <c r="AV24" s="1155"/>
      <c r="AW24" s="1155"/>
      <c r="AX24" s="1155"/>
      <c r="AY24" s="1155"/>
      <c r="AZ24" s="1155"/>
      <c r="BA24" s="1155"/>
      <c r="BB24" s="1155"/>
      <c r="BC24" s="1155"/>
      <c r="BD24" s="1155"/>
      <c r="BE24" s="1155"/>
      <c r="BF24" s="1155"/>
      <c r="BG24" s="1155"/>
      <c r="BH24" s="1155"/>
      <c r="BI24" s="1155"/>
      <c r="BJ24" s="1155"/>
      <c r="BK24" s="1155"/>
      <c r="BL24" s="1155"/>
      <c r="BM24" s="1155"/>
      <c r="BN24" s="1155"/>
      <c r="BO24" s="1155"/>
      <c r="BP24" s="1155"/>
      <c r="BQ24" s="1155"/>
      <c r="BR24" s="1155"/>
      <c r="BS24" s="1155"/>
      <c r="BT24" s="1155"/>
      <c r="BU24" s="1155"/>
    </row>
    <row r="25" spans="1:73" ht="15" customHeight="1">
      <c r="A25" s="1178"/>
      <c r="B25" s="1179"/>
      <c r="C25" s="1179"/>
      <c r="D25" s="1179"/>
      <c r="E25" s="1179"/>
      <c r="F25" s="1179"/>
      <c r="G25" s="1179"/>
      <c r="H25" s="1179"/>
      <c r="I25" s="1179"/>
      <c r="J25" s="1179"/>
      <c r="K25" s="1179"/>
      <c r="L25" s="1179"/>
      <c r="M25" s="1179"/>
      <c r="N25" s="1179"/>
      <c r="O25" s="1179"/>
      <c r="P25" s="1179"/>
      <c r="Q25" s="1179"/>
      <c r="R25" s="1179"/>
      <c r="S25" s="1179"/>
      <c r="T25" s="1179"/>
      <c r="U25" s="1179"/>
      <c r="V25" s="1179"/>
      <c r="W25" s="1179"/>
      <c r="X25" s="1179"/>
      <c r="Y25" s="1179"/>
      <c r="Z25" s="1179"/>
      <c r="AA25" s="1179"/>
      <c r="AB25" s="1179"/>
      <c r="AC25" s="1179"/>
      <c r="AD25" s="1179"/>
      <c r="AE25" s="1179"/>
      <c r="AF25" s="1179"/>
      <c r="AG25" s="1179"/>
      <c r="AH25" s="1179"/>
      <c r="AI25" s="1179"/>
      <c r="AJ25" s="1180"/>
    </row>
    <row r="26" spans="1:73" ht="15" customHeight="1">
      <c r="A26" s="1178"/>
      <c r="B26" s="1179"/>
      <c r="C26" s="1179"/>
      <c r="D26" s="3456" t="s">
        <v>853</v>
      </c>
      <c r="E26" s="3456"/>
      <c r="F26" s="3456"/>
      <c r="G26" s="3456"/>
      <c r="H26" s="3456"/>
      <c r="I26" s="3456"/>
      <c r="J26" s="3456"/>
      <c r="K26" s="3456"/>
      <c r="L26" s="3456"/>
      <c r="M26" s="3456"/>
      <c r="N26" s="3456"/>
      <c r="O26" s="3456"/>
      <c r="P26" s="3456"/>
      <c r="Q26" s="3456"/>
      <c r="R26" s="3456"/>
      <c r="S26" s="3456"/>
      <c r="T26" s="3456"/>
      <c r="U26" s="3466" t="s">
        <v>717</v>
      </c>
      <c r="V26" s="3467"/>
      <c r="W26" s="3468"/>
      <c r="X26" s="3469"/>
      <c r="Y26" s="1182"/>
      <c r="Z26" s="1182"/>
      <c r="AA26" s="1182"/>
      <c r="AB26" s="1179"/>
      <c r="AC26" s="1179"/>
      <c r="AD26" s="1179"/>
      <c r="AE26" s="1179"/>
      <c r="AF26" s="1179"/>
      <c r="AG26" s="1179"/>
      <c r="AH26" s="1179"/>
      <c r="AI26" s="1179"/>
      <c r="AJ26" s="1180"/>
    </row>
    <row r="27" spans="1:73" ht="15" customHeight="1">
      <c r="A27" s="1178"/>
      <c r="B27" s="1179"/>
      <c r="C27" s="1179"/>
      <c r="D27" s="3456"/>
      <c r="E27" s="3456"/>
      <c r="F27" s="3456"/>
      <c r="G27" s="3456"/>
      <c r="H27" s="3456"/>
      <c r="I27" s="3456"/>
      <c r="J27" s="3456"/>
      <c r="K27" s="3456"/>
      <c r="L27" s="3456"/>
      <c r="M27" s="3456"/>
      <c r="N27" s="3456"/>
      <c r="O27" s="3456"/>
      <c r="P27" s="3456"/>
      <c r="Q27" s="3456"/>
      <c r="R27" s="3456"/>
      <c r="S27" s="3456"/>
      <c r="T27" s="3456"/>
      <c r="U27" s="3466"/>
      <c r="V27" s="3470"/>
      <c r="W27" s="3471"/>
      <c r="X27" s="3472"/>
      <c r="Y27" s="1182"/>
      <c r="Z27" s="1182"/>
      <c r="AA27" s="1182"/>
      <c r="AB27" s="1179"/>
      <c r="AC27" s="1179"/>
      <c r="AD27" s="1179"/>
      <c r="AE27" s="1179"/>
      <c r="AF27" s="1179"/>
      <c r="AG27" s="1179"/>
      <c r="AH27" s="1179"/>
      <c r="AI27" s="1179"/>
      <c r="AJ27" s="1180"/>
    </row>
    <row r="28" spans="1:73" ht="15" customHeight="1">
      <c r="A28" s="1178"/>
      <c r="B28" s="1179"/>
      <c r="C28" s="1179"/>
      <c r="D28" s="1431"/>
      <c r="E28" s="1431"/>
      <c r="F28" s="1431"/>
      <c r="G28" s="1431"/>
      <c r="H28" s="1431"/>
      <c r="I28" s="1431"/>
      <c r="J28" s="1431"/>
      <c r="K28" s="1431"/>
      <c r="L28" s="1431"/>
      <c r="M28" s="1431"/>
      <c r="N28" s="1431"/>
      <c r="O28" s="1431"/>
      <c r="P28" s="1431"/>
      <c r="Q28" s="1431"/>
      <c r="R28" s="1431"/>
      <c r="S28" s="1431"/>
      <c r="T28" s="1431"/>
      <c r="U28" s="1436"/>
      <c r="V28" s="1437"/>
      <c r="W28" s="1437"/>
      <c r="X28" s="1437"/>
      <c r="Y28" s="1182"/>
      <c r="Z28" s="1182"/>
      <c r="AA28" s="1182"/>
      <c r="AB28" s="1179"/>
      <c r="AC28" s="1179"/>
      <c r="AD28" s="1179"/>
      <c r="AE28" s="1179"/>
      <c r="AF28" s="1179"/>
      <c r="AG28" s="1179"/>
      <c r="AH28" s="1179"/>
      <c r="AI28" s="1179"/>
      <c r="AJ28" s="1180"/>
    </row>
    <row r="29" spans="1:73" ht="15" customHeight="1">
      <c r="A29" s="1183"/>
      <c r="B29" s="1184"/>
      <c r="C29" s="1184"/>
      <c r="D29" s="1184"/>
      <c r="E29" s="1184"/>
      <c r="F29" s="1184"/>
      <c r="G29" s="1184"/>
      <c r="H29" s="1184"/>
      <c r="I29" s="1185"/>
      <c r="J29" s="1185"/>
      <c r="K29" s="1185"/>
      <c r="L29" s="1185"/>
      <c r="M29" s="1185"/>
      <c r="N29" s="1186"/>
      <c r="O29" s="1186"/>
      <c r="P29" s="1186"/>
      <c r="Q29" s="1186"/>
      <c r="R29" s="1186"/>
      <c r="S29" s="1187"/>
      <c r="T29" s="1188"/>
      <c r="U29" s="1184"/>
      <c r="V29" s="1184"/>
      <c r="W29" s="1184"/>
      <c r="X29" s="1184"/>
      <c r="Y29" s="1184"/>
      <c r="Z29" s="1184"/>
      <c r="AA29" s="1184"/>
      <c r="AB29" s="1186"/>
      <c r="AC29" s="1186"/>
      <c r="AD29" s="1186"/>
      <c r="AE29" s="1186"/>
      <c r="AF29" s="1186"/>
      <c r="AG29" s="1186"/>
      <c r="AH29" s="1186"/>
      <c r="AI29" s="1186"/>
      <c r="AJ29" s="1189"/>
    </row>
    <row r="30" spans="1:73" ht="15" customHeight="1">
      <c r="A30" s="1190"/>
      <c r="B30" s="1184"/>
      <c r="C30" s="1184"/>
      <c r="D30" s="3457" t="s">
        <v>826</v>
      </c>
      <c r="E30" s="3457"/>
      <c r="F30" s="3457"/>
      <c r="G30" s="3457"/>
      <c r="H30" s="3457"/>
      <c r="I30" s="3457"/>
      <c r="J30" s="3457"/>
      <c r="K30" s="3457"/>
      <c r="L30" s="3457"/>
      <c r="M30" s="3457"/>
      <c r="N30" s="3457"/>
      <c r="O30" s="3457"/>
      <c r="P30" s="3457"/>
      <c r="Q30" s="3457"/>
      <c r="R30" s="3457"/>
      <c r="S30" s="3457"/>
      <c r="T30" s="3457"/>
      <c r="U30" s="3391" t="s">
        <v>717</v>
      </c>
      <c r="V30" s="3460" t="str">
        <f>+IF(V26="","",(V26*998-U22)/(V26*998))</f>
        <v/>
      </c>
      <c r="W30" s="3461"/>
      <c r="X30" s="3462"/>
      <c r="Y30" s="1181"/>
      <c r="Z30" s="1181"/>
      <c r="AA30" s="1181"/>
      <c r="AB30" s="1181"/>
      <c r="AH30" s="1191"/>
      <c r="AI30" s="1191"/>
      <c r="AJ30" s="1189"/>
    </row>
    <row r="31" spans="1:73" ht="15" customHeight="1">
      <c r="A31" s="1190"/>
      <c r="B31" s="1184"/>
      <c r="C31" s="1184"/>
      <c r="D31" s="3457"/>
      <c r="E31" s="3457"/>
      <c r="F31" s="3457"/>
      <c r="G31" s="3457"/>
      <c r="H31" s="3457"/>
      <c r="I31" s="3457"/>
      <c r="J31" s="3457"/>
      <c r="K31" s="3457"/>
      <c r="L31" s="3457"/>
      <c r="M31" s="3457"/>
      <c r="N31" s="3457"/>
      <c r="O31" s="3457"/>
      <c r="P31" s="3457"/>
      <c r="Q31" s="3457"/>
      <c r="R31" s="3457"/>
      <c r="S31" s="3457"/>
      <c r="T31" s="3457"/>
      <c r="U31" s="3391"/>
      <c r="V31" s="3463"/>
      <c r="W31" s="3464"/>
      <c r="X31" s="3465"/>
      <c r="Y31" s="1181"/>
      <c r="Z31" s="1181"/>
      <c r="AA31" s="1181"/>
      <c r="AB31" s="1181"/>
      <c r="AC31" s="1181"/>
      <c r="AH31" s="1191"/>
      <c r="AI31" s="1191"/>
      <c r="AJ31" s="1189"/>
    </row>
    <row r="32" spans="1:73" ht="15" customHeight="1">
      <c r="A32" s="1190"/>
      <c r="B32" s="1184"/>
      <c r="C32" s="1184"/>
      <c r="D32" s="1432"/>
      <c r="E32" s="1432"/>
      <c r="F32" s="1432"/>
      <c r="G32" s="1432"/>
      <c r="H32" s="1432"/>
      <c r="I32" s="1432"/>
      <c r="J32" s="1432"/>
      <c r="K32" s="1432"/>
      <c r="L32" s="1432"/>
      <c r="M32" s="1432"/>
      <c r="N32" s="1432"/>
      <c r="O32" s="1432"/>
      <c r="P32" s="1432"/>
      <c r="Q32" s="1432"/>
      <c r="R32" s="1432"/>
      <c r="S32" s="1432"/>
      <c r="T32" s="1432"/>
      <c r="U32" s="1427"/>
      <c r="V32" s="1433"/>
      <c r="W32" s="1433"/>
      <c r="X32" s="1433"/>
      <c r="Y32" s="1181"/>
      <c r="Z32" s="1181"/>
      <c r="AA32" s="1181"/>
      <c r="AB32" s="1181"/>
      <c r="AC32" s="1181"/>
      <c r="AH32" s="1191"/>
      <c r="AI32" s="1191"/>
      <c r="AJ32" s="1189"/>
    </row>
    <row r="33" spans="1:115" s="1192" customFormat="1" ht="15" customHeight="1">
      <c r="A33" s="1190"/>
      <c r="B33" s="1184"/>
      <c r="C33" s="1184"/>
      <c r="D33" s="1432"/>
      <c r="E33" s="1432"/>
      <c r="F33" s="1432"/>
      <c r="G33" s="1432"/>
      <c r="H33" s="1432"/>
      <c r="I33" s="1432"/>
      <c r="J33" s="1432"/>
      <c r="K33" s="1432"/>
      <c r="L33" s="1432"/>
      <c r="M33" s="1432"/>
      <c r="N33" s="1432"/>
      <c r="O33" s="1432"/>
      <c r="P33" s="1432"/>
      <c r="Q33" s="1432"/>
      <c r="R33" s="1432"/>
      <c r="S33" s="1432"/>
      <c r="T33" s="1432"/>
      <c r="U33" s="1427"/>
      <c r="V33" s="1433"/>
      <c r="W33" s="1433"/>
      <c r="X33" s="1433"/>
      <c r="Y33" s="1181"/>
      <c r="Z33" s="1181"/>
      <c r="AA33" s="1181"/>
      <c r="AB33" s="1181"/>
      <c r="AC33" s="1181"/>
      <c r="AD33" s="1427"/>
      <c r="AE33" s="1433"/>
      <c r="AF33" s="1433"/>
      <c r="AG33" s="1433"/>
      <c r="AH33" s="1191"/>
      <c r="AI33" s="1191"/>
      <c r="AJ33" s="1189"/>
      <c r="AK33" s="1155"/>
      <c r="AL33" s="1155"/>
      <c r="AM33" s="1155"/>
      <c r="AN33" s="1155"/>
      <c r="AO33" s="1155"/>
      <c r="AP33" s="1155"/>
      <c r="AQ33" s="1155"/>
      <c r="AR33" s="1155"/>
      <c r="AS33" s="1155"/>
      <c r="AT33" s="1155"/>
      <c r="AU33" s="1155"/>
      <c r="AV33" s="1155"/>
      <c r="AW33" s="1155"/>
      <c r="AX33" s="1155"/>
      <c r="AY33" s="1155"/>
      <c r="AZ33" s="1155"/>
      <c r="BA33" s="1155"/>
      <c r="BB33" s="1155"/>
      <c r="BC33" s="1155"/>
      <c r="BD33" s="1155"/>
      <c r="BE33" s="1155"/>
      <c r="BF33" s="1155"/>
      <c r="BG33" s="1155"/>
      <c r="BH33" s="1155"/>
      <c r="BI33" s="1155"/>
      <c r="BJ33" s="1155"/>
      <c r="BK33" s="1155"/>
      <c r="BL33" s="1155"/>
      <c r="BM33" s="1155"/>
      <c r="BN33" s="1155"/>
      <c r="BO33" s="1155"/>
      <c r="BP33" s="1155"/>
      <c r="BQ33" s="1155"/>
      <c r="BR33" s="1155"/>
      <c r="BS33" s="1155"/>
      <c r="BT33" s="1155"/>
      <c r="BU33" s="1155"/>
      <c r="BV33" s="1155"/>
      <c r="BW33" s="1155"/>
      <c r="BX33" s="1155"/>
      <c r="BY33" s="1155"/>
      <c r="BZ33" s="1155"/>
      <c r="CA33" s="1155"/>
      <c r="CB33" s="1155"/>
      <c r="CC33" s="1155"/>
      <c r="CD33" s="1155"/>
      <c r="CE33" s="1155"/>
      <c r="CF33" s="1155"/>
      <c r="CG33" s="1155"/>
      <c r="CH33" s="1155"/>
      <c r="CI33" s="1155"/>
      <c r="CJ33" s="1155"/>
      <c r="CK33" s="1155"/>
      <c r="CL33" s="1155"/>
      <c r="CM33" s="1155"/>
      <c r="CN33" s="1155"/>
      <c r="CO33" s="1155"/>
      <c r="CP33" s="1155"/>
      <c r="CQ33" s="1155"/>
      <c r="CR33" s="1155"/>
      <c r="CS33" s="1155"/>
      <c r="CT33" s="1155"/>
      <c r="CU33" s="1155"/>
      <c r="CV33" s="1155"/>
      <c r="CW33" s="1155"/>
      <c r="CX33" s="1155"/>
      <c r="CY33" s="1155"/>
      <c r="CZ33" s="1155"/>
      <c r="DA33" s="1155"/>
      <c r="DB33" s="1155"/>
      <c r="DC33" s="1155"/>
      <c r="DD33" s="1155"/>
      <c r="DE33" s="1155"/>
      <c r="DF33" s="1155"/>
      <c r="DG33" s="1155"/>
      <c r="DH33" s="1155"/>
      <c r="DI33" s="1155"/>
      <c r="DJ33" s="1155"/>
      <c r="DK33" s="1155"/>
    </row>
    <row r="34" spans="1:115" s="1192" customFormat="1" ht="15" customHeight="1">
      <c r="A34" s="1190"/>
      <c r="B34" s="1184"/>
      <c r="C34" s="1184"/>
      <c r="D34" s="3457" t="s">
        <v>718</v>
      </c>
      <c r="E34" s="3457"/>
      <c r="F34" s="3457"/>
      <c r="G34" s="3457"/>
      <c r="H34" s="3457"/>
      <c r="I34" s="3457"/>
      <c r="J34" s="3457"/>
      <c r="K34" s="3457"/>
      <c r="L34" s="3457"/>
      <c r="M34" s="3457"/>
      <c r="N34" s="3457"/>
      <c r="O34" s="3457"/>
      <c r="P34" s="3457"/>
      <c r="Q34" s="3457"/>
      <c r="R34" s="3457"/>
      <c r="S34" s="3457"/>
      <c r="T34" s="3457"/>
      <c r="U34" s="3391" t="s">
        <v>717</v>
      </c>
      <c r="V34" s="3460" t="str">
        <f>+IF(V26="","",(V26*998-AA22)/(V26*998))</f>
        <v/>
      </c>
      <c r="W34" s="3461"/>
      <c r="X34" s="3462"/>
      <c r="Y34" s="1181"/>
      <c r="Z34" s="1181"/>
      <c r="AA34" s="1181"/>
      <c r="AB34" s="1181"/>
      <c r="AC34" s="1181"/>
      <c r="AD34" s="1427"/>
      <c r="AE34" s="1433"/>
      <c r="AF34" s="1433"/>
      <c r="AG34" s="1433"/>
      <c r="AH34" s="1191"/>
      <c r="AI34" s="1191"/>
      <c r="AJ34" s="1189"/>
      <c r="AK34" s="1155"/>
      <c r="AL34" s="1155"/>
      <c r="AM34" s="1155"/>
      <c r="AN34" s="1155"/>
      <c r="AO34" s="1155"/>
      <c r="AP34" s="1175"/>
      <c r="AQ34" s="1155"/>
      <c r="AR34" s="1155"/>
      <c r="AS34" s="1155"/>
      <c r="AT34" s="1155"/>
      <c r="AU34" s="1155"/>
      <c r="AV34" s="1155"/>
      <c r="AW34" s="1155"/>
      <c r="AX34" s="1155"/>
      <c r="AY34" s="1155"/>
      <c r="AZ34" s="1155"/>
      <c r="BA34" s="1155"/>
      <c r="BB34" s="1155"/>
      <c r="BC34" s="1155"/>
      <c r="BD34" s="1155"/>
      <c r="BE34" s="1155"/>
      <c r="BF34" s="1155"/>
      <c r="BG34" s="1155"/>
      <c r="BH34" s="1155"/>
      <c r="BI34" s="1155"/>
      <c r="BJ34" s="1155"/>
      <c r="BK34" s="1155"/>
      <c r="BL34" s="1155"/>
      <c r="BM34" s="1155"/>
      <c r="BN34" s="1155"/>
      <c r="BO34" s="1155"/>
      <c r="BP34" s="1155"/>
      <c r="BQ34" s="1155"/>
      <c r="BR34" s="1155"/>
      <c r="BS34" s="1155"/>
      <c r="BT34" s="1155"/>
      <c r="BU34" s="1155"/>
      <c r="BV34" s="1155"/>
      <c r="BW34" s="1155"/>
      <c r="BX34" s="1155"/>
      <c r="BY34" s="1155"/>
      <c r="BZ34" s="1155"/>
      <c r="CA34" s="1155"/>
      <c r="CB34" s="1155"/>
      <c r="CC34" s="1155"/>
      <c r="CD34" s="1155"/>
      <c r="CE34" s="1155"/>
      <c r="CF34" s="1155"/>
      <c r="CG34" s="1155"/>
      <c r="CH34" s="1155"/>
      <c r="CI34" s="1155"/>
      <c r="CJ34" s="1155"/>
      <c r="CK34" s="1155"/>
      <c r="CL34" s="1155"/>
      <c r="CM34" s="1155"/>
      <c r="CN34" s="1155"/>
      <c r="CO34" s="1155"/>
      <c r="CP34" s="1155"/>
      <c r="CQ34" s="1155"/>
      <c r="CR34" s="1155"/>
      <c r="CS34" s="1155"/>
      <c r="CT34" s="1155"/>
      <c r="CU34" s="1155"/>
      <c r="CV34" s="1155"/>
      <c r="CW34" s="1155"/>
      <c r="CX34" s="1155"/>
      <c r="CY34" s="1155"/>
      <c r="CZ34" s="1155"/>
      <c r="DA34" s="1155"/>
      <c r="DB34" s="1155"/>
      <c r="DC34" s="1155"/>
      <c r="DD34" s="1155"/>
      <c r="DE34" s="1155"/>
      <c r="DF34" s="1155"/>
      <c r="DG34" s="1155"/>
      <c r="DH34" s="1155"/>
      <c r="DI34" s="1155"/>
      <c r="DJ34" s="1155"/>
      <c r="DK34" s="1155"/>
    </row>
    <row r="35" spans="1:115" s="1192" customFormat="1" ht="15" customHeight="1">
      <c r="A35" s="1190"/>
      <c r="B35" s="1184"/>
      <c r="C35" s="1184"/>
      <c r="D35" s="3457"/>
      <c r="E35" s="3457"/>
      <c r="F35" s="3457"/>
      <c r="G35" s="3457"/>
      <c r="H35" s="3457"/>
      <c r="I35" s="3457"/>
      <c r="J35" s="3457"/>
      <c r="K35" s="3457"/>
      <c r="L35" s="3457"/>
      <c r="M35" s="3457"/>
      <c r="N35" s="3457"/>
      <c r="O35" s="3457"/>
      <c r="P35" s="3457"/>
      <c r="Q35" s="3457"/>
      <c r="R35" s="3457"/>
      <c r="S35" s="3457"/>
      <c r="T35" s="3457"/>
      <c r="U35" s="3391"/>
      <c r="V35" s="3463"/>
      <c r="W35" s="3464"/>
      <c r="X35" s="3465"/>
      <c r="Y35" s="1181"/>
      <c r="Z35" s="1181"/>
      <c r="AA35" s="1181"/>
      <c r="AB35" s="1181"/>
      <c r="AC35" s="1181"/>
      <c r="AD35" s="1427"/>
      <c r="AE35" s="1433"/>
      <c r="AF35" s="1433"/>
      <c r="AG35" s="1433"/>
      <c r="AH35" s="1191"/>
      <c r="AI35" s="1191"/>
      <c r="AJ35" s="1189"/>
      <c r="AK35" s="1155"/>
      <c r="AL35" s="1155"/>
      <c r="AM35" s="1155"/>
      <c r="AN35" s="1155"/>
      <c r="AO35" s="1155"/>
      <c r="AP35" s="1175"/>
      <c r="AQ35" s="1155"/>
      <c r="AR35" s="1155"/>
      <c r="AS35" s="1155"/>
      <c r="AT35" s="1155"/>
      <c r="AU35" s="1155"/>
      <c r="AV35" s="1155"/>
      <c r="AW35" s="1155"/>
      <c r="AX35" s="1155"/>
      <c r="AY35" s="1155"/>
      <c r="AZ35" s="1155"/>
      <c r="BA35" s="1155"/>
      <c r="BB35" s="1155"/>
      <c r="BC35" s="1155"/>
      <c r="BD35" s="1155"/>
      <c r="BE35" s="1155"/>
      <c r="BF35" s="1155"/>
      <c r="BG35" s="1155"/>
      <c r="BH35" s="1155"/>
      <c r="BI35" s="1155"/>
      <c r="BJ35" s="1155"/>
      <c r="BK35" s="1155"/>
      <c r="BL35" s="1155"/>
      <c r="BM35" s="1155"/>
      <c r="BN35" s="1155"/>
      <c r="BO35" s="1155"/>
      <c r="BP35" s="1155"/>
      <c r="BQ35" s="1155"/>
      <c r="BR35" s="1155"/>
      <c r="BS35" s="1155"/>
      <c r="BT35" s="1155"/>
      <c r="BU35" s="1155"/>
      <c r="BV35" s="1155"/>
      <c r="BW35" s="1155"/>
      <c r="BX35" s="1155"/>
      <c r="BY35" s="1155"/>
      <c r="BZ35" s="1155"/>
      <c r="CA35" s="1155"/>
      <c r="CB35" s="1155"/>
      <c r="CC35" s="1155"/>
      <c r="CD35" s="1155"/>
      <c r="CE35" s="1155"/>
      <c r="CF35" s="1155"/>
      <c r="CG35" s="1155"/>
      <c r="CH35" s="1155"/>
      <c r="CI35" s="1155"/>
      <c r="CJ35" s="1155"/>
      <c r="CK35" s="1155"/>
      <c r="CL35" s="1155"/>
      <c r="CM35" s="1155"/>
      <c r="CN35" s="1155"/>
      <c r="CO35" s="1155"/>
      <c r="CP35" s="1155"/>
      <c r="CQ35" s="1155"/>
      <c r="CR35" s="1155"/>
      <c r="CS35" s="1155"/>
      <c r="CT35" s="1155"/>
      <c r="CU35" s="1155"/>
      <c r="CV35" s="1155"/>
      <c r="CW35" s="1155"/>
      <c r="CX35" s="1155"/>
      <c r="CY35" s="1155"/>
      <c r="CZ35" s="1155"/>
      <c r="DA35" s="1155"/>
      <c r="DB35" s="1155"/>
      <c r="DC35" s="1155"/>
      <c r="DD35" s="1155"/>
      <c r="DE35" s="1155"/>
      <c r="DF35" s="1155"/>
      <c r="DG35" s="1155"/>
      <c r="DH35" s="1155"/>
      <c r="DI35" s="1155"/>
      <c r="DJ35" s="1155"/>
      <c r="DK35" s="1155"/>
    </row>
    <row r="36" spans="1:115" ht="15" customHeight="1">
      <c r="A36" s="1193"/>
      <c r="B36" s="1194"/>
      <c r="C36" s="1194"/>
      <c r="D36" s="1194"/>
      <c r="E36" s="1194"/>
      <c r="F36" s="1194"/>
      <c r="G36" s="1194"/>
      <c r="H36" s="1194"/>
      <c r="I36" s="1194"/>
      <c r="J36" s="1195"/>
      <c r="K36" s="1194"/>
      <c r="L36" s="1194"/>
      <c r="M36" s="1194"/>
      <c r="N36" s="1194"/>
      <c r="O36" s="1194"/>
      <c r="P36" s="1194"/>
      <c r="Q36" s="1194"/>
      <c r="R36" s="1194"/>
      <c r="S36" s="1194"/>
      <c r="T36" s="1194"/>
      <c r="U36" s="1176"/>
      <c r="V36" s="1176"/>
      <c r="W36" s="1172"/>
      <c r="X36" s="1172"/>
      <c r="Y36" s="1172"/>
      <c r="Z36" s="1172"/>
      <c r="AA36" s="1172"/>
      <c r="AB36" s="1172"/>
      <c r="AC36" s="1172"/>
      <c r="AD36" s="1194"/>
      <c r="AE36" s="1194"/>
      <c r="AF36" s="1194"/>
      <c r="AG36" s="1196"/>
      <c r="AH36" s="1196"/>
      <c r="AI36" s="1196"/>
      <c r="AJ36" s="1197"/>
    </row>
    <row r="37" spans="1:115" s="1192" customFormat="1" ht="15" customHeight="1">
      <c r="A37" s="1201"/>
      <c r="B37" s="3458" t="s">
        <v>852</v>
      </c>
      <c r="C37" s="3458"/>
      <c r="D37" s="3458"/>
      <c r="E37" s="3458"/>
      <c r="F37" s="3458"/>
      <c r="G37" s="3458"/>
      <c r="H37" s="3458"/>
      <c r="I37" s="3459"/>
      <c r="J37" s="3459"/>
      <c r="K37" s="3459"/>
      <c r="L37" s="3459"/>
      <c r="M37" s="1435"/>
      <c r="N37" s="1426"/>
      <c r="O37" s="1426"/>
      <c r="P37" s="1426"/>
      <c r="Q37" s="1199"/>
      <c r="R37" s="1199"/>
      <c r="S37" s="1199"/>
      <c r="T37" s="1199"/>
      <c r="U37" s="1198"/>
      <c r="V37" s="1198"/>
      <c r="W37" s="1405"/>
      <c r="X37" s="1405"/>
      <c r="Y37" s="1405"/>
      <c r="Z37" s="1405"/>
      <c r="AA37" s="1405"/>
      <c r="AB37" s="1405"/>
      <c r="AC37" s="1405"/>
      <c r="AD37" s="1427"/>
      <c r="AE37" s="1426"/>
      <c r="AF37" s="1426"/>
      <c r="AG37" s="1426"/>
      <c r="AH37" s="1082"/>
      <c r="AI37" s="1082"/>
      <c r="AJ37" s="1200"/>
      <c r="AK37" s="1155"/>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1155"/>
      <c r="BW37" s="1155"/>
      <c r="BX37" s="1155"/>
      <c r="BY37" s="1155"/>
      <c r="BZ37" s="1155"/>
      <c r="CA37" s="1155"/>
      <c r="CB37" s="1155"/>
      <c r="CC37" s="1155"/>
      <c r="CD37" s="1155"/>
      <c r="CE37" s="1155"/>
      <c r="CF37" s="1155"/>
      <c r="CG37" s="1155"/>
      <c r="CH37" s="1155"/>
      <c r="CI37" s="1155"/>
      <c r="CJ37" s="1155"/>
      <c r="CK37" s="1155"/>
      <c r="CL37" s="1155"/>
      <c r="CM37" s="1155"/>
      <c r="CN37" s="1155"/>
      <c r="CO37" s="1155"/>
      <c r="CP37" s="1155"/>
      <c r="CQ37" s="1155"/>
      <c r="CR37" s="1155"/>
      <c r="CS37" s="1155"/>
      <c r="CT37" s="1155"/>
      <c r="CU37" s="1155"/>
      <c r="CV37" s="1155"/>
      <c r="CW37" s="1155"/>
      <c r="CX37" s="1155"/>
      <c r="CY37" s="1155"/>
      <c r="CZ37" s="1155"/>
      <c r="DA37" s="1155"/>
      <c r="DB37" s="1155"/>
      <c r="DC37" s="1155"/>
      <c r="DD37" s="1155"/>
      <c r="DE37" s="1155"/>
      <c r="DF37" s="1155"/>
      <c r="DG37" s="1155"/>
      <c r="DH37" s="1155"/>
      <c r="DI37" s="1155"/>
      <c r="DJ37" s="1155"/>
      <c r="DK37" s="1155"/>
    </row>
    <row r="38" spans="1:115" s="1192" customFormat="1" ht="15" customHeight="1">
      <c r="A38" s="1202"/>
      <c r="B38" s="1095"/>
      <c r="C38" s="1095"/>
      <c r="D38" s="1095"/>
      <c r="E38" s="1095"/>
      <c r="F38" s="1095"/>
      <c r="G38" s="1095"/>
      <c r="H38" s="1095"/>
      <c r="I38" s="1095"/>
      <c r="J38" s="1095"/>
      <c r="K38" s="1095"/>
      <c r="L38" s="1095"/>
      <c r="M38" s="1095"/>
      <c r="N38" s="1095"/>
      <c r="O38" s="1095"/>
      <c r="P38" s="1095"/>
      <c r="Q38" s="1095"/>
      <c r="R38" s="1095"/>
      <c r="S38" s="1095"/>
      <c r="T38" s="1095"/>
      <c r="U38" s="1086"/>
      <c r="V38" s="1086"/>
      <c r="W38" s="1086"/>
      <c r="X38" s="1086"/>
      <c r="Y38" s="1086"/>
      <c r="Z38" s="1086"/>
      <c r="AA38" s="1086"/>
      <c r="AB38" s="1086"/>
      <c r="AC38" s="1086"/>
      <c r="AD38" s="1086"/>
      <c r="AE38" s="1086"/>
      <c r="AF38" s="1086"/>
      <c r="AG38" s="1086"/>
      <c r="AH38" s="1086"/>
      <c r="AI38" s="1086"/>
      <c r="AJ38" s="1087"/>
      <c r="AK38" s="1155"/>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1155"/>
      <c r="BW38" s="1155"/>
      <c r="BX38" s="1155"/>
      <c r="BY38" s="1155"/>
      <c r="BZ38" s="1155"/>
      <c r="CA38" s="1155"/>
      <c r="CB38" s="1155"/>
      <c r="CC38" s="1155"/>
      <c r="CD38" s="1155"/>
      <c r="CE38" s="1155"/>
      <c r="CF38" s="1155"/>
      <c r="CG38" s="1155"/>
      <c r="CH38" s="1155"/>
      <c r="CI38" s="1155"/>
      <c r="CJ38" s="1155"/>
      <c r="CK38" s="1155"/>
      <c r="CL38" s="1155"/>
      <c r="CM38" s="1155"/>
      <c r="CN38" s="1155"/>
      <c r="CO38" s="1155"/>
      <c r="CP38" s="1155"/>
      <c r="CQ38" s="1155"/>
      <c r="CR38" s="1155"/>
      <c r="CS38" s="1155"/>
      <c r="CT38" s="1155"/>
      <c r="CU38" s="1155"/>
      <c r="CV38" s="1155"/>
      <c r="CW38" s="1155"/>
      <c r="CX38" s="1155"/>
      <c r="CY38" s="1155"/>
      <c r="CZ38" s="1155"/>
      <c r="DA38" s="1155"/>
      <c r="DB38" s="1155"/>
      <c r="DC38" s="1155"/>
      <c r="DD38" s="1155"/>
      <c r="DE38" s="1155"/>
      <c r="DF38" s="1155"/>
      <c r="DG38" s="1155"/>
      <c r="DH38" s="1155"/>
      <c r="DI38" s="1155"/>
      <c r="DJ38" s="1155"/>
      <c r="DK38" s="1155"/>
    </row>
    <row r="39" spans="1:115" s="89" customFormat="1" ht="15" customHeight="1">
      <c r="A39" s="1428"/>
      <c r="B39" s="3455" t="s">
        <v>20</v>
      </c>
      <c r="C39" s="3455"/>
      <c r="D39" s="3455"/>
      <c r="E39" s="3455"/>
      <c r="F39" s="3455"/>
      <c r="G39" s="3455"/>
      <c r="H39" s="3455"/>
      <c r="I39" s="1429"/>
      <c r="J39" s="1429"/>
      <c r="K39" s="1429"/>
      <c r="L39" s="1429"/>
      <c r="M39" s="1429"/>
      <c r="N39" s="1429"/>
      <c r="O39" s="1429"/>
      <c r="P39" s="1429"/>
      <c r="Q39" s="1429"/>
      <c r="R39" s="1429"/>
      <c r="S39" s="1429"/>
      <c r="T39" s="1429"/>
      <c r="U39" s="1429"/>
      <c r="V39" s="1429"/>
      <c r="W39" s="1429"/>
      <c r="X39" s="1429"/>
      <c r="Y39" s="1429"/>
      <c r="Z39" s="1429"/>
      <c r="AA39" s="1429"/>
      <c r="AB39" s="1429"/>
      <c r="AC39" s="1429"/>
      <c r="AD39" s="1429"/>
      <c r="AE39" s="1429"/>
      <c r="AF39" s="1429"/>
      <c r="AG39" s="1429"/>
      <c r="AH39" s="1429"/>
      <c r="AI39" s="1429"/>
      <c r="AJ39" s="1430"/>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row>
    <row r="40" spans="1:115" s="84" customFormat="1" ht="15" customHeight="1">
      <c r="A40" s="3290"/>
      <c r="B40" s="3291"/>
      <c r="C40" s="3291"/>
      <c r="D40" s="3291"/>
      <c r="E40" s="3291"/>
      <c r="F40" s="3291"/>
      <c r="G40" s="3291"/>
      <c r="H40" s="3291"/>
      <c r="I40" s="3291"/>
      <c r="J40" s="3291"/>
      <c r="K40" s="3291"/>
      <c r="L40" s="3291"/>
      <c r="M40" s="3291"/>
      <c r="N40" s="3291"/>
      <c r="O40" s="3291"/>
      <c r="P40" s="3291"/>
      <c r="Q40" s="3291"/>
      <c r="R40" s="3291"/>
      <c r="S40" s="3291"/>
      <c r="T40" s="3291"/>
      <c r="U40" s="3291"/>
      <c r="V40" s="3291"/>
      <c r="W40" s="3291"/>
      <c r="X40" s="3291"/>
      <c r="Y40" s="3291"/>
      <c r="Z40" s="3291"/>
      <c r="AA40" s="3291"/>
      <c r="AB40" s="3291"/>
      <c r="AC40" s="3291"/>
      <c r="AD40" s="3291"/>
      <c r="AE40" s="3291"/>
      <c r="AF40" s="3291"/>
      <c r="AG40" s="3291"/>
      <c r="AH40" s="3291"/>
      <c r="AI40" s="3291"/>
      <c r="AJ40" s="3292"/>
    </row>
    <row r="41" spans="1:115" s="84" customFormat="1" ht="15" customHeight="1" thickBot="1">
      <c r="A41" s="3473"/>
      <c r="B41" s="3474"/>
      <c r="C41" s="3474"/>
      <c r="D41" s="3474"/>
      <c r="E41" s="3474"/>
      <c r="F41" s="3474"/>
      <c r="G41" s="3474"/>
      <c r="H41" s="3474"/>
      <c r="I41" s="3474"/>
      <c r="J41" s="3474"/>
      <c r="K41" s="3474"/>
      <c r="L41" s="3474"/>
      <c r="M41" s="3474"/>
      <c r="N41" s="3474"/>
      <c r="O41" s="3474"/>
      <c r="P41" s="3474"/>
      <c r="Q41" s="3474"/>
      <c r="R41" s="3474"/>
      <c r="S41" s="3474"/>
      <c r="T41" s="3474"/>
      <c r="U41" s="3474"/>
      <c r="V41" s="3474"/>
      <c r="W41" s="3474"/>
      <c r="X41" s="3474"/>
      <c r="Y41" s="3474"/>
      <c r="Z41" s="3474"/>
      <c r="AA41" s="3474"/>
      <c r="AB41" s="3474"/>
      <c r="AC41" s="3474"/>
      <c r="AD41" s="3474"/>
      <c r="AE41" s="3474"/>
      <c r="AF41" s="3474"/>
      <c r="AG41" s="3474"/>
      <c r="AH41" s="3474"/>
      <c r="AI41" s="3474"/>
      <c r="AJ41" s="3475"/>
    </row>
    <row r="42" spans="1:115" s="84" customFormat="1" ht="15" customHeight="1" thickTop="1" thickBot="1">
      <c r="A42" s="3453" t="s">
        <v>24</v>
      </c>
      <c r="B42" s="3453"/>
      <c r="C42" s="3453"/>
      <c r="D42" s="3453"/>
      <c r="E42" s="3453"/>
      <c r="F42" s="3453"/>
      <c r="G42" s="3453"/>
      <c r="H42" s="3453"/>
      <c r="I42" s="3453"/>
      <c r="J42" s="3453"/>
      <c r="K42" s="3453"/>
      <c r="L42" s="3453"/>
      <c r="M42" s="3453"/>
      <c r="N42" s="3453"/>
      <c r="O42" s="3453"/>
      <c r="P42" s="3453"/>
      <c r="Q42" s="3453"/>
      <c r="R42" s="3453"/>
      <c r="S42" s="3453"/>
      <c r="T42" s="3453"/>
      <c r="U42" s="3453"/>
      <c r="V42" s="3453"/>
      <c r="W42" s="3453"/>
      <c r="X42" s="3453"/>
      <c r="Y42" s="3453"/>
      <c r="Z42" s="3453"/>
      <c r="AA42" s="3453"/>
      <c r="AB42" s="3453"/>
      <c r="AC42" s="3453"/>
      <c r="AD42" s="3453"/>
      <c r="AE42" s="3453"/>
      <c r="AF42" s="3453"/>
      <c r="AG42" s="3453"/>
      <c r="AH42" s="3453"/>
      <c r="AI42" s="3453"/>
      <c r="AJ42" s="3453"/>
    </row>
    <row r="43" spans="1:115" s="84" customFormat="1" ht="15" customHeight="1" thickTop="1">
      <c r="A43" s="3454"/>
      <c r="B43" s="3454"/>
      <c r="C43" s="3454"/>
      <c r="D43" s="3454"/>
      <c r="E43" s="3454"/>
      <c r="F43" s="3454"/>
      <c r="G43" s="3454"/>
      <c r="H43" s="3454"/>
      <c r="I43" s="3454"/>
      <c r="J43" s="3454"/>
      <c r="K43" s="3454"/>
      <c r="L43" s="3454"/>
      <c r="M43" s="3454"/>
      <c r="N43" s="3454"/>
      <c r="O43" s="3454"/>
      <c r="P43" s="3454"/>
      <c r="Q43" s="3454"/>
      <c r="R43" s="3454"/>
      <c r="S43" s="3454"/>
      <c r="T43" s="3454"/>
      <c r="U43" s="3454"/>
      <c r="V43" s="3454"/>
      <c r="W43" s="3454"/>
      <c r="X43" s="3454"/>
      <c r="Y43" s="3454"/>
      <c r="Z43" s="3454"/>
      <c r="AA43" s="3454"/>
      <c r="AB43" s="3454"/>
      <c r="AC43" s="3454"/>
      <c r="AD43" s="3454"/>
      <c r="AE43" s="3454"/>
      <c r="AF43" s="3454"/>
      <c r="AG43" s="3454"/>
      <c r="AH43" s="3454"/>
      <c r="AI43" s="3454"/>
      <c r="AJ43" s="3454"/>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row>
    <row r="44" spans="1:115" s="84" customFormat="1" ht="15" customHeight="1">
      <c r="A44" s="3452" t="s">
        <v>827</v>
      </c>
      <c r="B44" s="3452"/>
      <c r="C44" s="3452"/>
      <c r="D44" s="3452"/>
      <c r="E44" s="3452"/>
      <c r="F44" s="3452"/>
      <c r="G44" s="3452"/>
      <c r="H44" s="3452"/>
      <c r="I44" s="3452"/>
      <c r="J44" s="3452"/>
      <c r="K44" s="3452"/>
      <c r="L44" s="3452"/>
      <c r="M44" s="3452"/>
      <c r="N44" s="3452"/>
      <c r="O44" s="3452"/>
      <c r="P44" s="3452"/>
      <c r="Q44" s="3452"/>
      <c r="R44" s="3452"/>
      <c r="S44" s="3452"/>
      <c r="T44" s="3452"/>
      <c r="U44" s="3452"/>
      <c r="V44" s="3452"/>
      <c r="W44" s="3452"/>
      <c r="X44" s="3452"/>
      <c r="Y44" s="3452"/>
      <c r="Z44" s="3452"/>
      <c r="AA44" s="3452"/>
      <c r="AB44" s="3452"/>
      <c r="AC44" s="3452"/>
      <c r="AD44" s="3452"/>
      <c r="AE44" s="3452"/>
      <c r="AF44" s="3452"/>
      <c r="AG44" s="3452"/>
      <c r="AH44" s="3452"/>
      <c r="AI44" s="3452"/>
      <c r="AJ44" s="3452"/>
    </row>
    <row r="45" spans="1:115" s="84" customFormat="1" ht="15" customHeight="1">
      <c r="A45" s="3452"/>
      <c r="B45" s="3452"/>
      <c r="C45" s="3452"/>
      <c r="D45" s="3452"/>
      <c r="E45" s="3452"/>
      <c r="F45" s="3452"/>
      <c r="G45" s="3452"/>
      <c r="H45" s="3452"/>
      <c r="I45" s="3452"/>
      <c r="J45" s="3452"/>
      <c r="K45" s="3452"/>
      <c r="L45" s="3452"/>
      <c r="M45" s="3452"/>
      <c r="N45" s="3452"/>
      <c r="O45" s="3452"/>
      <c r="P45" s="3452"/>
      <c r="Q45" s="3452"/>
      <c r="R45" s="3452"/>
      <c r="S45" s="3452"/>
      <c r="T45" s="3452"/>
      <c r="U45" s="3452"/>
      <c r="V45" s="3452"/>
      <c r="W45" s="3452"/>
      <c r="X45" s="3452"/>
      <c r="Y45" s="3452"/>
      <c r="Z45" s="3452"/>
      <c r="AA45" s="3452"/>
      <c r="AB45" s="3452"/>
      <c r="AC45" s="3452"/>
      <c r="AD45" s="3452"/>
      <c r="AE45" s="3452"/>
      <c r="AF45" s="3452"/>
      <c r="AG45" s="3452"/>
      <c r="AH45" s="3452"/>
      <c r="AI45" s="3452"/>
      <c r="AJ45" s="3452"/>
    </row>
    <row r="46" spans="1:115" s="91" customFormat="1" ht="15" customHeight="1">
      <c r="A46" s="1203"/>
      <c r="B46" s="1203"/>
      <c r="C46" s="1203"/>
      <c r="D46" s="1203"/>
      <c r="E46" s="1203"/>
      <c r="F46" s="1203"/>
      <c r="G46" s="1203"/>
      <c r="H46" s="1203"/>
      <c r="I46" s="1203"/>
      <c r="J46" s="1203"/>
      <c r="K46" s="1203"/>
      <c r="L46" s="1203"/>
      <c r="M46" s="1203"/>
      <c r="N46" s="1203"/>
      <c r="O46" s="1203"/>
      <c r="P46" s="1203"/>
      <c r="Q46" s="1203"/>
      <c r="R46" s="1203"/>
      <c r="S46" s="1203"/>
      <c r="T46" s="1203"/>
      <c r="U46" s="1203"/>
      <c r="V46" s="1203"/>
      <c r="W46" s="1203"/>
      <c r="X46" s="1203"/>
      <c r="Y46" s="1203"/>
      <c r="Z46" s="1203"/>
      <c r="AA46" s="1203"/>
      <c r="AB46" s="1203"/>
      <c r="AC46" s="1203"/>
      <c r="AD46" s="1203"/>
      <c r="AE46" s="1203"/>
      <c r="AF46" s="1203"/>
      <c r="AG46" s="1203"/>
      <c r="AH46" s="1203"/>
      <c r="AI46" s="1203"/>
      <c r="AJ46" s="1203"/>
      <c r="AL46" s="1155"/>
      <c r="AM46" s="1155"/>
      <c r="AN46" s="1155"/>
      <c r="AO46" s="1155"/>
      <c r="AP46" s="1155"/>
      <c r="AQ46" s="1155"/>
      <c r="AR46" s="1155"/>
      <c r="AS46" s="1155"/>
      <c r="AT46" s="1155"/>
      <c r="AU46" s="1155"/>
      <c r="AV46" s="1155"/>
      <c r="AW46" s="1155"/>
      <c r="AX46" s="1155"/>
      <c r="AY46" s="1155"/>
      <c r="AZ46" s="1155"/>
      <c r="BA46" s="1155"/>
      <c r="BB46" s="1155"/>
      <c r="BC46" s="1155"/>
      <c r="BD46" s="1155"/>
      <c r="BE46" s="1155"/>
      <c r="BF46" s="1155"/>
      <c r="BG46" s="1155"/>
      <c r="BH46" s="1155"/>
      <c r="BI46" s="1155"/>
      <c r="BJ46" s="1155"/>
      <c r="BK46" s="1155"/>
      <c r="BL46" s="1155"/>
      <c r="BM46" s="1155"/>
      <c r="BN46" s="1155"/>
      <c r="BO46" s="1155"/>
      <c r="BP46" s="1155"/>
      <c r="BQ46" s="1155"/>
      <c r="BR46" s="1155"/>
      <c r="BS46" s="1155"/>
      <c r="BT46" s="1155"/>
      <c r="BU46" s="1155"/>
    </row>
    <row r="47" spans="1:115" s="84" customFormat="1" ht="20.25" customHeight="1">
      <c r="A47" s="1078"/>
      <c r="B47" s="1078"/>
      <c r="C47" s="1078"/>
      <c r="D47" s="1078"/>
      <c r="E47" s="1078"/>
      <c r="F47" s="1078"/>
      <c r="G47" s="1078"/>
      <c r="H47" s="1078"/>
      <c r="I47" s="1078"/>
      <c r="J47" s="1078"/>
      <c r="K47" s="1078"/>
      <c r="L47" s="1078"/>
      <c r="M47" s="1078"/>
      <c r="N47" s="1078"/>
      <c r="O47" s="1078"/>
      <c r="P47" s="1078"/>
      <c r="Q47" s="1078"/>
      <c r="R47" s="1078"/>
      <c r="S47" s="1078"/>
      <c r="T47" s="1078"/>
      <c r="U47" s="1078"/>
      <c r="V47" s="1078"/>
      <c r="W47" s="1078"/>
      <c r="X47" s="1078"/>
      <c r="Y47" s="1078"/>
      <c r="Z47" s="1078"/>
      <c r="AA47" s="1078"/>
      <c r="AB47" s="1078"/>
      <c r="AC47" s="1078"/>
      <c r="AD47" s="1078"/>
      <c r="AE47" s="1078"/>
      <c r="AF47" s="1078"/>
      <c r="AG47" s="1078"/>
      <c r="AH47" s="1078"/>
      <c r="AI47" s="1078"/>
      <c r="AJ47" s="1078"/>
      <c r="AL47" s="1155"/>
      <c r="AM47" s="1155"/>
      <c r="AN47" s="1155"/>
      <c r="AO47" s="1155"/>
      <c r="AP47" s="1155"/>
      <c r="AQ47" s="1155"/>
      <c r="AR47" s="1155"/>
      <c r="AS47" s="1155"/>
      <c r="AT47" s="1155"/>
      <c r="AU47" s="1155"/>
      <c r="AV47" s="1155"/>
      <c r="AW47" s="1155"/>
      <c r="AX47" s="1155"/>
      <c r="AY47" s="1155"/>
      <c r="AZ47" s="1155"/>
      <c r="BA47" s="1155"/>
      <c r="BB47" s="1155"/>
      <c r="BC47" s="1155"/>
      <c r="BD47" s="1155"/>
      <c r="BE47" s="1155"/>
      <c r="BF47" s="1155"/>
      <c r="BG47" s="1155"/>
      <c r="BH47" s="1155"/>
      <c r="BI47" s="1155"/>
      <c r="BJ47" s="1155"/>
      <c r="BK47" s="1155"/>
      <c r="BL47" s="1155"/>
      <c r="BM47" s="1155"/>
      <c r="BN47" s="1155"/>
      <c r="BO47" s="1155"/>
      <c r="BP47" s="1155"/>
      <c r="BQ47" s="1155"/>
      <c r="BR47" s="1155"/>
      <c r="BS47" s="1155"/>
      <c r="BT47" s="1155"/>
      <c r="BU47" s="1155"/>
    </row>
    <row r="48" spans="1:115" s="84" customFormat="1" ht="30.75" customHeight="1">
      <c r="A48" s="1078"/>
      <c r="B48" s="1078"/>
      <c r="C48" s="1078"/>
      <c r="D48" s="1078"/>
      <c r="E48" s="1078"/>
      <c r="F48" s="1078"/>
      <c r="G48" s="1078"/>
      <c r="H48" s="1078"/>
      <c r="I48" s="1078"/>
      <c r="J48" s="1078"/>
      <c r="K48" s="1078"/>
      <c r="L48" s="1078"/>
      <c r="M48" s="1078"/>
      <c r="N48" s="1078"/>
      <c r="O48" s="1078"/>
      <c r="P48" s="1078"/>
      <c r="Q48" s="1078"/>
      <c r="R48" s="1078"/>
      <c r="S48" s="1078"/>
      <c r="T48" s="1078"/>
      <c r="U48" s="1078"/>
      <c r="V48" s="1078"/>
      <c r="W48" s="1078"/>
      <c r="X48" s="1078"/>
      <c r="Y48" s="1078"/>
      <c r="Z48" s="1078"/>
      <c r="AA48" s="1078"/>
      <c r="AB48" s="1078"/>
      <c r="AC48" s="1078"/>
      <c r="AD48" s="1078"/>
      <c r="AE48" s="1078"/>
      <c r="AF48" s="1078"/>
      <c r="AG48" s="1078"/>
      <c r="AH48" s="1078"/>
      <c r="AI48" s="1078"/>
      <c r="AJ48" s="1078"/>
      <c r="AL48" s="1155"/>
      <c r="AM48" s="1155"/>
      <c r="AN48" s="1155"/>
      <c r="AO48" s="1155"/>
      <c r="AP48" s="1155"/>
      <c r="AQ48" s="1155"/>
      <c r="AR48" s="1155"/>
      <c r="AS48" s="1155"/>
      <c r="AT48" s="1155"/>
      <c r="AU48" s="1155"/>
      <c r="AV48" s="1155"/>
      <c r="AW48" s="1155"/>
      <c r="AX48" s="1155"/>
      <c r="AY48" s="1155"/>
      <c r="AZ48" s="1155"/>
      <c r="BA48" s="1155"/>
      <c r="BB48" s="1155"/>
      <c r="BC48" s="1155"/>
      <c r="BD48" s="1155"/>
      <c r="BE48" s="1155"/>
      <c r="BF48" s="1155"/>
      <c r="BG48" s="1155"/>
      <c r="BH48" s="1155"/>
      <c r="BI48" s="1155"/>
      <c r="BJ48" s="1155"/>
      <c r="BK48" s="1155"/>
      <c r="BL48" s="1155"/>
      <c r="BM48" s="1155"/>
      <c r="BN48" s="1155"/>
      <c r="BO48" s="1155"/>
      <c r="BP48" s="1155"/>
      <c r="BQ48" s="1155"/>
      <c r="BR48" s="1155"/>
      <c r="BS48" s="1155"/>
      <c r="BT48" s="1155"/>
      <c r="BU48" s="1155"/>
    </row>
    <row r="49" spans="1:36" s="1155" customFormat="1" ht="25.5" customHeight="1">
      <c r="A49" s="1078"/>
      <c r="B49" s="1078"/>
      <c r="C49" s="1078"/>
      <c r="D49" s="1078"/>
      <c r="E49" s="1078"/>
      <c r="F49" s="1078"/>
      <c r="G49" s="1078"/>
      <c r="H49" s="1078"/>
      <c r="I49" s="1078"/>
      <c r="J49" s="1078"/>
      <c r="K49" s="1078"/>
      <c r="L49" s="1078"/>
      <c r="M49" s="1078"/>
      <c r="N49" s="1078"/>
      <c r="O49" s="1078"/>
      <c r="P49" s="1078"/>
      <c r="Q49" s="1078"/>
      <c r="R49" s="1078"/>
      <c r="S49" s="1078"/>
      <c r="T49" s="1078"/>
      <c r="U49" s="1078"/>
      <c r="V49" s="1078"/>
      <c r="W49" s="1078"/>
      <c r="X49" s="1078"/>
      <c r="Y49" s="1078"/>
      <c r="Z49" s="1078"/>
      <c r="AA49" s="1078"/>
      <c r="AB49" s="1078"/>
      <c r="AC49" s="1078"/>
      <c r="AD49" s="1078"/>
      <c r="AE49" s="1078"/>
      <c r="AF49" s="1078"/>
      <c r="AG49" s="1078"/>
      <c r="AH49" s="1078"/>
      <c r="AI49" s="1078"/>
      <c r="AJ49" s="1078"/>
    </row>
    <row r="50" spans="1:36" s="1155" customFormat="1" ht="31.5" customHeight="1">
      <c r="A50" s="1078"/>
      <c r="B50" s="1078"/>
      <c r="C50" s="1078"/>
      <c r="D50" s="1078"/>
      <c r="E50" s="1078"/>
      <c r="F50" s="1078"/>
      <c r="G50" s="1078"/>
      <c r="H50" s="1078"/>
      <c r="I50" s="1078"/>
      <c r="J50" s="1078"/>
      <c r="K50" s="1078"/>
      <c r="L50" s="1078"/>
      <c r="M50" s="1078"/>
      <c r="N50" s="1078"/>
      <c r="O50" s="1078"/>
      <c r="P50" s="1078"/>
      <c r="Q50" s="1078"/>
      <c r="R50" s="1078"/>
      <c r="S50" s="1078"/>
      <c r="T50" s="1078"/>
      <c r="U50" s="1078"/>
      <c r="V50" s="1078"/>
      <c r="W50" s="1078"/>
      <c r="X50" s="1078"/>
      <c r="Y50" s="1078"/>
      <c r="Z50" s="1078"/>
      <c r="AA50" s="1078"/>
      <c r="AB50" s="1078"/>
      <c r="AC50" s="1078"/>
      <c r="AD50" s="1078"/>
      <c r="AE50" s="1078"/>
      <c r="AF50" s="1078"/>
      <c r="AG50" s="1078"/>
      <c r="AH50" s="1078"/>
      <c r="AI50" s="1078"/>
      <c r="AJ50" s="1078"/>
    </row>
  </sheetData>
  <sheetProtection password="B39D" sheet="1" formatCells="0" formatColumns="0" formatRows="0"/>
  <mergeCells count="53">
    <mergeCell ref="A44:AJ45"/>
    <mergeCell ref="A42:AJ42"/>
    <mergeCell ref="A43:AJ43"/>
    <mergeCell ref="B39:H39"/>
    <mergeCell ref="D26:T27"/>
    <mergeCell ref="D30:T31"/>
    <mergeCell ref="D34:T35"/>
    <mergeCell ref="A40:AJ40"/>
    <mergeCell ref="B37:H37"/>
    <mergeCell ref="I37:L37"/>
    <mergeCell ref="V34:X35"/>
    <mergeCell ref="U26:U27"/>
    <mergeCell ref="V26:X27"/>
    <mergeCell ref="U30:U31"/>
    <mergeCell ref="V30:X31"/>
    <mergeCell ref="A41:AJ41"/>
    <mergeCell ref="U21:Z21"/>
    <mergeCell ref="U20:Z20"/>
    <mergeCell ref="AA21:AF21"/>
    <mergeCell ref="U22:Z22"/>
    <mergeCell ref="AA22:AF22"/>
    <mergeCell ref="AM10:AQ10"/>
    <mergeCell ref="AR10:AV10"/>
    <mergeCell ref="AM8:AQ8"/>
    <mergeCell ref="AB7:AH7"/>
    <mergeCell ref="AC8:AH8"/>
    <mergeCell ref="BN8:BQ8"/>
    <mergeCell ref="AM9:AQ9"/>
    <mergeCell ref="AR9:AV9"/>
    <mergeCell ref="H5:AJ5"/>
    <mergeCell ref="AR8:AV8"/>
    <mergeCell ref="Y7:AA7"/>
    <mergeCell ref="AX4:BU4"/>
    <mergeCell ref="AM6:AV6"/>
    <mergeCell ref="AM7:AQ7"/>
    <mergeCell ref="AR7:AV7"/>
    <mergeCell ref="BN7:BQ7"/>
    <mergeCell ref="U34:U35"/>
    <mergeCell ref="G17:J17"/>
    <mergeCell ref="H1:AJ3"/>
    <mergeCell ref="M12:W12"/>
    <mergeCell ref="U16:AF16"/>
    <mergeCell ref="A10:AJ10"/>
    <mergeCell ref="H4:V4"/>
    <mergeCell ref="W4:AG4"/>
    <mergeCell ref="G20:J20"/>
    <mergeCell ref="M13:W13"/>
    <mergeCell ref="U19:Z19"/>
    <mergeCell ref="AA19:AF19"/>
    <mergeCell ref="U17:AF17"/>
    <mergeCell ref="AA20:AF20"/>
    <mergeCell ref="U18:Z18"/>
    <mergeCell ref="AA18:AF18"/>
  </mergeCells>
  <dataValidations count="2">
    <dataValidation type="list" allowBlank="1" showInputMessage="1" showErrorMessage="1" sqref="M13:W13">
      <formula1>$AL$15:$AL$16</formula1>
    </dataValidation>
    <dataValidation type="list" allowBlank="1" showInputMessage="1" showErrorMessage="1" sqref="IX18:JI18 WVJ983055:WVU983055 WLN983055:WLY983055 WBR983055:WCC983055 VRV983055:VSG983055 VHZ983055:VIK983055 UYD983055:UYO983055 UOH983055:UOS983055 UEL983055:UEW983055 TUP983055:TVA983055 TKT983055:TLE983055 TAX983055:TBI983055 SRB983055:SRM983055 SHF983055:SHQ983055 RXJ983055:RXU983055 RNN983055:RNY983055 RDR983055:REC983055 QTV983055:QUG983055 QJZ983055:QKK983055 QAD983055:QAO983055 PQH983055:PQS983055 PGL983055:PGW983055 OWP983055:OXA983055 OMT983055:ONE983055 OCX983055:ODI983055 NTB983055:NTM983055 NJF983055:NJQ983055 MZJ983055:MZU983055 MPN983055:MPY983055 MFR983055:MGC983055 LVV983055:LWG983055 LLZ983055:LMK983055 LCD983055:LCO983055 KSH983055:KSS983055 KIL983055:KIW983055 JYP983055:JZA983055 JOT983055:JPE983055 JEX983055:JFI983055 IVB983055:IVM983055 ILF983055:ILQ983055 IBJ983055:IBU983055 HRN983055:HRY983055 HHR983055:HIC983055 GXV983055:GYG983055 GNZ983055:GOK983055 GED983055:GEO983055 FUH983055:FUS983055 FKL983055:FKW983055 FAP983055:FBA983055 EQT983055:ERE983055 EGX983055:EHI983055 DXB983055:DXM983055 DNF983055:DNQ983055 DDJ983055:DDU983055 CTN983055:CTY983055 CJR983055:CKC983055 BZV983055:CAG983055 BPZ983055:BQK983055 BGD983055:BGO983055 AWH983055:AWS983055 AML983055:AMW983055 ACP983055:ADA983055 ST983055:TE983055 IX983055:JI983055 B983052:M983052 WVJ917519:WVU917519 WLN917519:WLY917519 WBR917519:WCC917519 VRV917519:VSG917519 VHZ917519:VIK917519 UYD917519:UYO917519 UOH917519:UOS917519 UEL917519:UEW917519 TUP917519:TVA917519 TKT917519:TLE917519 TAX917519:TBI917519 SRB917519:SRM917519 SHF917519:SHQ917519 RXJ917519:RXU917519 RNN917519:RNY917519 RDR917519:REC917519 QTV917519:QUG917519 QJZ917519:QKK917519 QAD917519:QAO917519 PQH917519:PQS917519 PGL917519:PGW917519 OWP917519:OXA917519 OMT917519:ONE917519 OCX917519:ODI917519 NTB917519:NTM917519 NJF917519:NJQ917519 MZJ917519:MZU917519 MPN917519:MPY917519 MFR917519:MGC917519 LVV917519:LWG917519 LLZ917519:LMK917519 LCD917519:LCO917519 KSH917519:KSS917519 KIL917519:KIW917519 JYP917519:JZA917519 JOT917519:JPE917519 JEX917519:JFI917519 IVB917519:IVM917519 ILF917519:ILQ917519 IBJ917519:IBU917519 HRN917519:HRY917519 HHR917519:HIC917519 GXV917519:GYG917519 GNZ917519:GOK917519 GED917519:GEO917519 FUH917519:FUS917519 FKL917519:FKW917519 FAP917519:FBA917519 EQT917519:ERE917519 EGX917519:EHI917519 DXB917519:DXM917519 DNF917519:DNQ917519 DDJ917519:DDU917519 CTN917519:CTY917519 CJR917519:CKC917519 BZV917519:CAG917519 BPZ917519:BQK917519 BGD917519:BGO917519 AWH917519:AWS917519 AML917519:AMW917519 ACP917519:ADA917519 ST917519:TE917519 IX917519:JI917519 B917516:M917516 WVJ851983:WVU851983 WLN851983:WLY851983 WBR851983:WCC851983 VRV851983:VSG851983 VHZ851983:VIK851983 UYD851983:UYO851983 UOH851983:UOS851983 UEL851983:UEW851983 TUP851983:TVA851983 TKT851983:TLE851983 TAX851983:TBI851983 SRB851983:SRM851983 SHF851983:SHQ851983 RXJ851983:RXU851983 RNN851983:RNY851983 RDR851983:REC851983 QTV851983:QUG851983 QJZ851983:QKK851983 QAD851983:QAO851983 PQH851983:PQS851983 PGL851983:PGW851983 OWP851983:OXA851983 OMT851983:ONE851983 OCX851983:ODI851983 NTB851983:NTM851983 NJF851983:NJQ851983 MZJ851983:MZU851983 MPN851983:MPY851983 MFR851983:MGC851983 LVV851983:LWG851983 LLZ851983:LMK851983 LCD851983:LCO851983 KSH851983:KSS851983 KIL851983:KIW851983 JYP851983:JZA851983 JOT851983:JPE851983 JEX851983:JFI851983 IVB851983:IVM851983 ILF851983:ILQ851983 IBJ851983:IBU851983 HRN851983:HRY851983 HHR851983:HIC851983 GXV851983:GYG851983 GNZ851983:GOK851983 GED851983:GEO851983 FUH851983:FUS851983 FKL851983:FKW851983 FAP851983:FBA851983 EQT851983:ERE851983 EGX851983:EHI851983 DXB851983:DXM851983 DNF851983:DNQ851983 DDJ851983:DDU851983 CTN851983:CTY851983 CJR851983:CKC851983 BZV851983:CAG851983 BPZ851983:BQK851983 BGD851983:BGO851983 AWH851983:AWS851983 AML851983:AMW851983 ACP851983:ADA851983 ST851983:TE851983 IX851983:JI851983 B851980:M851980 WVJ786447:WVU786447 WLN786447:WLY786447 WBR786447:WCC786447 VRV786447:VSG786447 VHZ786447:VIK786447 UYD786447:UYO786447 UOH786447:UOS786447 UEL786447:UEW786447 TUP786447:TVA786447 TKT786447:TLE786447 TAX786447:TBI786447 SRB786447:SRM786447 SHF786447:SHQ786447 RXJ786447:RXU786447 RNN786447:RNY786447 RDR786447:REC786447 QTV786447:QUG786447 QJZ786447:QKK786447 QAD786447:QAO786447 PQH786447:PQS786447 PGL786447:PGW786447 OWP786447:OXA786447 OMT786447:ONE786447 OCX786447:ODI786447 NTB786447:NTM786447 NJF786447:NJQ786447 MZJ786447:MZU786447 MPN786447:MPY786447 MFR786447:MGC786447 LVV786447:LWG786447 LLZ786447:LMK786447 LCD786447:LCO786447 KSH786447:KSS786447 KIL786447:KIW786447 JYP786447:JZA786447 JOT786447:JPE786447 JEX786447:JFI786447 IVB786447:IVM786447 ILF786447:ILQ786447 IBJ786447:IBU786447 HRN786447:HRY786447 HHR786447:HIC786447 GXV786447:GYG786447 GNZ786447:GOK786447 GED786447:GEO786447 FUH786447:FUS786447 FKL786447:FKW786447 FAP786447:FBA786447 EQT786447:ERE786447 EGX786447:EHI786447 DXB786447:DXM786447 DNF786447:DNQ786447 DDJ786447:DDU786447 CTN786447:CTY786447 CJR786447:CKC786447 BZV786447:CAG786447 BPZ786447:BQK786447 BGD786447:BGO786447 AWH786447:AWS786447 AML786447:AMW786447 ACP786447:ADA786447 ST786447:TE786447 IX786447:JI786447 B786444:M786444 WVJ720911:WVU720911 WLN720911:WLY720911 WBR720911:WCC720911 VRV720911:VSG720911 VHZ720911:VIK720911 UYD720911:UYO720911 UOH720911:UOS720911 UEL720911:UEW720911 TUP720911:TVA720911 TKT720911:TLE720911 TAX720911:TBI720911 SRB720911:SRM720911 SHF720911:SHQ720911 RXJ720911:RXU720911 RNN720911:RNY720911 RDR720911:REC720911 QTV720911:QUG720911 QJZ720911:QKK720911 QAD720911:QAO720911 PQH720911:PQS720911 PGL720911:PGW720911 OWP720911:OXA720911 OMT720911:ONE720911 OCX720911:ODI720911 NTB720911:NTM720911 NJF720911:NJQ720911 MZJ720911:MZU720911 MPN720911:MPY720911 MFR720911:MGC720911 LVV720911:LWG720911 LLZ720911:LMK720911 LCD720911:LCO720911 KSH720911:KSS720911 KIL720911:KIW720911 JYP720911:JZA720911 JOT720911:JPE720911 JEX720911:JFI720911 IVB720911:IVM720911 ILF720911:ILQ720911 IBJ720911:IBU720911 HRN720911:HRY720911 HHR720911:HIC720911 GXV720911:GYG720911 GNZ720911:GOK720911 GED720911:GEO720911 FUH720911:FUS720911 FKL720911:FKW720911 FAP720911:FBA720911 EQT720911:ERE720911 EGX720911:EHI720911 DXB720911:DXM720911 DNF720911:DNQ720911 DDJ720911:DDU720911 CTN720911:CTY720911 CJR720911:CKC720911 BZV720911:CAG720911 BPZ720911:BQK720911 BGD720911:BGO720911 AWH720911:AWS720911 AML720911:AMW720911 ACP720911:ADA720911 ST720911:TE720911 IX720911:JI720911 B720908:M720908 WVJ655375:WVU655375 WLN655375:WLY655375 WBR655375:WCC655375 VRV655375:VSG655375 VHZ655375:VIK655375 UYD655375:UYO655375 UOH655375:UOS655375 UEL655375:UEW655375 TUP655375:TVA655375 TKT655375:TLE655375 TAX655375:TBI655375 SRB655375:SRM655375 SHF655375:SHQ655375 RXJ655375:RXU655375 RNN655375:RNY655375 RDR655375:REC655375 QTV655375:QUG655375 QJZ655375:QKK655375 QAD655375:QAO655375 PQH655375:PQS655375 PGL655375:PGW655375 OWP655375:OXA655375 OMT655375:ONE655375 OCX655375:ODI655375 NTB655375:NTM655375 NJF655375:NJQ655375 MZJ655375:MZU655375 MPN655375:MPY655375 MFR655375:MGC655375 LVV655375:LWG655375 LLZ655375:LMK655375 LCD655375:LCO655375 KSH655375:KSS655375 KIL655375:KIW655375 JYP655375:JZA655375 JOT655375:JPE655375 JEX655375:JFI655375 IVB655375:IVM655375 ILF655375:ILQ655375 IBJ655375:IBU655375 HRN655375:HRY655375 HHR655375:HIC655375 GXV655375:GYG655375 GNZ655375:GOK655375 GED655375:GEO655375 FUH655375:FUS655375 FKL655375:FKW655375 FAP655375:FBA655375 EQT655375:ERE655375 EGX655375:EHI655375 DXB655375:DXM655375 DNF655375:DNQ655375 DDJ655375:DDU655375 CTN655375:CTY655375 CJR655375:CKC655375 BZV655375:CAG655375 BPZ655375:BQK655375 BGD655375:BGO655375 AWH655375:AWS655375 AML655375:AMW655375 ACP655375:ADA655375 ST655375:TE655375 IX655375:JI655375 B655372:M655372 WVJ589839:WVU589839 WLN589839:WLY589839 WBR589839:WCC589839 VRV589839:VSG589839 VHZ589839:VIK589839 UYD589839:UYO589839 UOH589839:UOS589839 UEL589839:UEW589839 TUP589839:TVA589839 TKT589839:TLE589839 TAX589839:TBI589839 SRB589839:SRM589839 SHF589839:SHQ589839 RXJ589839:RXU589839 RNN589839:RNY589839 RDR589839:REC589839 QTV589839:QUG589839 QJZ589839:QKK589839 QAD589839:QAO589839 PQH589839:PQS589839 PGL589839:PGW589839 OWP589839:OXA589839 OMT589839:ONE589839 OCX589839:ODI589839 NTB589839:NTM589839 NJF589839:NJQ589839 MZJ589839:MZU589839 MPN589839:MPY589839 MFR589839:MGC589839 LVV589839:LWG589839 LLZ589839:LMK589839 LCD589839:LCO589839 KSH589839:KSS589839 KIL589839:KIW589839 JYP589839:JZA589839 JOT589839:JPE589839 JEX589839:JFI589839 IVB589839:IVM589839 ILF589839:ILQ589839 IBJ589839:IBU589839 HRN589839:HRY589839 HHR589839:HIC589839 GXV589839:GYG589839 GNZ589839:GOK589839 GED589839:GEO589839 FUH589839:FUS589839 FKL589839:FKW589839 FAP589839:FBA589839 EQT589839:ERE589839 EGX589839:EHI589839 DXB589839:DXM589839 DNF589839:DNQ589839 DDJ589839:DDU589839 CTN589839:CTY589839 CJR589839:CKC589839 BZV589839:CAG589839 BPZ589839:BQK589839 BGD589839:BGO589839 AWH589839:AWS589839 AML589839:AMW589839 ACP589839:ADA589839 ST589839:TE589839 IX589839:JI589839 B589836:M589836 WVJ524303:WVU524303 WLN524303:WLY524303 WBR524303:WCC524303 VRV524303:VSG524303 VHZ524303:VIK524303 UYD524303:UYO524303 UOH524303:UOS524303 UEL524303:UEW524303 TUP524303:TVA524303 TKT524303:TLE524303 TAX524303:TBI524303 SRB524303:SRM524303 SHF524303:SHQ524303 RXJ524303:RXU524303 RNN524303:RNY524303 RDR524303:REC524303 QTV524303:QUG524303 QJZ524303:QKK524303 QAD524303:QAO524303 PQH524303:PQS524303 PGL524303:PGW524303 OWP524303:OXA524303 OMT524303:ONE524303 OCX524303:ODI524303 NTB524303:NTM524303 NJF524303:NJQ524303 MZJ524303:MZU524303 MPN524303:MPY524303 MFR524303:MGC524303 LVV524303:LWG524303 LLZ524303:LMK524303 LCD524303:LCO524303 KSH524303:KSS524303 KIL524303:KIW524303 JYP524303:JZA524303 JOT524303:JPE524303 JEX524303:JFI524303 IVB524303:IVM524303 ILF524303:ILQ524303 IBJ524303:IBU524303 HRN524303:HRY524303 HHR524303:HIC524303 GXV524303:GYG524303 GNZ524303:GOK524303 GED524303:GEO524303 FUH524303:FUS524303 FKL524303:FKW524303 FAP524303:FBA524303 EQT524303:ERE524303 EGX524303:EHI524303 DXB524303:DXM524303 DNF524303:DNQ524303 DDJ524303:DDU524303 CTN524303:CTY524303 CJR524303:CKC524303 BZV524303:CAG524303 BPZ524303:BQK524303 BGD524303:BGO524303 AWH524303:AWS524303 AML524303:AMW524303 ACP524303:ADA524303 ST524303:TE524303 IX524303:JI524303 B524300:M524300 WVJ458767:WVU458767 WLN458767:WLY458767 WBR458767:WCC458767 VRV458767:VSG458767 VHZ458767:VIK458767 UYD458767:UYO458767 UOH458767:UOS458767 UEL458767:UEW458767 TUP458767:TVA458767 TKT458767:TLE458767 TAX458767:TBI458767 SRB458767:SRM458767 SHF458767:SHQ458767 RXJ458767:RXU458767 RNN458767:RNY458767 RDR458767:REC458767 QTV458767:QUG458767 QJZ458767:QKK458767 QAD458767:QAO458767 PQH458767:PQS458767 PGL458767:PGW458767 OWP458767:OXA458767 OMT458767:ONE458767 OCX458767:ODI458767 NTB458767:NTM458767 NJF458767:NJQ458767 MZJ458767:MZU458767 MPN458767:MPY458767 MFR458767:MGC458767 LVV458767:LWG458767 LLZ458767:LMK458767 LCD458767:LCO458767 KSH458767:KSS458767 KIL458767:KIW458767 JYP458767:JZA458767 JOT458767:JPE458767 JEX458767:JFI458767 IVB458767:IVM458767 ILF458767:ILQ458767 IBJ458767:IBU458767 HRN458767:HRY458767 HHR458767:HIC458767 GXV458767:GYG458767 GNZ458767:GOK458767 GED458767:GEO458767 FUH458767:FUS458767 FKL458767:FKW458767 FAP458767:FBA458767 EQT458767:ERE458767 EGX458767:EHI458767 DXB458767:DXM458767 DNF458767:DNQ458767 DDJ458767:DDU458767 CTN458767:CTY458767 CJR458767:CKC458767 BZV458767:CAG458767 BPZ458767:BQK458767 BGD458767:BGO458767 AWH458767:AWS458767 AML458767:AMW458767 ACP458767:ADA458767 ST458767:TE458767 IX458767:JI458767 B458764:M458764 WVJ393231:WVU393231 WLN393231:WLY393231 WBR393231:WCC393231 VRV393231:VSG393231 VHZ393231:VIK393231 UYD393231:UYO393231 UOH393231:UOS393231 UEL393231:UEW393231 TUP393231:TVA393231 TKT393231:TLE393231 TAX393231:TBI393231 SRB393231:SRM393231 SHF393231:SHQ393231 RXJ393231:RXU393231 RNN393231:RNY393231 RDR393231:REC393231 QTV393231:QUG393231 QJZ393231:QKK393231 QAD393231:QAO393231 PQH393231:PQS393231 PGL393231:PGW393231 OWP393231:OXA393231 OMT393231:ONE393231 OCX393231:ODI393231 NTB393231:NTM393231 NJF393231:NJQ393231 MZJ393231:MZU393231 MPN393231:MPY393231 MFR393231:MGC393231 LVV393231:LWG393231 LLZ393231:LMK393231 LCD393231:LCO393231 KSH393231:KSS393231 KIL393231:KIW393231 JYP393231:JZA393231 JOT393231:JPE393231 JEX393231:JFI393231 IVB393231:IVM393231 ILF393231:ILQ393231 IBJ393231:IBU393231 HRN393231:HRY393231 HHR393231:HIC393231 GXV393231:GYG393231 GNZ393231:GOK393231 GED393231:GEO393231 FUH393231:FUS393231 FKL393231:FKW393231 FAP393231:FBA393231 EQT393231:ERE393231 EGX393231:EHI393231 DXB393231:DXM393231 DNF393231:DNQ393231 DDJ393231:DDU393231 CTN393231:CTY393231 CJR393231:CKC393231 BZV393231:CAG393231 BPZ393231:BQK393231 BGD393231:BGO393231 AWH393231:AWS393231 AML393231:AMW393231 ACP393231:ADA393231 ST393231:TE393231 IX393231:JI393231 B393228:M393228 WVJ327695:WVU327695 WLN327695:WLY327695 WBR327695:WCC327695 VRV327695:VSG327695 VHZ327695:VIK327695 UYD327695:UYO327695 UOH327695:UOS327695 UEL327695:UEW327695 TUP327695:TVA327695 TKT327695:TLE327695 TAX327695:TBI327695 SRB327695:SRM327695 SHF327695:SHQ327695 RXJ327695:RXU327695 RNN327695:RNY327695 RDR327695:REC327695 QTV327695:QUG327695 QJZ327695:QKK327695 QAD327695:QAO327695 PQH327695:PQS327695 PGL327695:PGW327695 OWP327695:OXA327695 OMT327695:ONE327695 OCX327695:ODI327695 NTB327695:NTM327695 NJF327695:NJQ327695 MZJ327695:MZU327695 MPN327695:MPY327695 MFR327695:MGC327695 LVV327695:LWG327695 LLZ327695:LMK327695 LCD327695:LCO327695 KSH327695:KSS327695 KIL327695:KIW327695 JYP327695:JZA327695 JOT327695:JPE327695 JEX327695:JFI327695 IVB327695:IVM327695 ILF327695:ILQ327695 IBJ327695:IBU327695 HRN327695:HRY327695 HHR327695:HIC327695 GXV327695:GYG327695 GNZ327695:GOK327695 GED327695:GEO327695 FUH327695:FUS327695 FKL327695:FKW327695 FAP327695:FBA327695 EQT327695:ERE327695 EGX327695:EHI327695 DXB327695:DXM327695 DNF327695:DNQ327695 DDJ327695:DDU327695 CTN327695:CTY327695 CJR327695:CKC327695 BZV327695:CAG327695 BPZ327695:BQK327695 BGD327695:BGO327695 AWH327695:AWS327695 AML327695:AMW327695 ACP327695:ADA327695 ST327695:TE327695 IX327695:JI327695 B327692:M327692 WVJ262159:WVU262159 WLN262159:WLY262159 WBR262159:WCC262159 VRV262159:VSG262159 VHZ262159:VIK262159 UYD262159:UYO262159 UOH262159:UOS262159 UEL262159:UEW262159 TUP262159:TVA262159 TKT262159:TLE262159 TAX262159:TBI262159 SRB262159:SRM262159 SHF262159:SHQ262159 RXJ262159:RXU262159 RNN262159:RNY262159 RDR262159:REC262159 QTV262159:QUG262159 QJZ262159:QKK262159 QAD262159:QAO262159 PQH262159:PQS262159 PGL262159:PGW262159 OWP262159:OXA262159 OMT262159:ONE262159 OCX262159:ODI262159 NTB262159:NTM262159 NJF262159:NJQ262159 MZJ262159:MZU262159 MPN262159:MPY262159 MFR262159:MGC262159 LVV262159:LWG262159 LLZ262159:LMK262159 LCD262159:LCO262159 KSH262159:KSS262159 KIL262159:KIW262159 JYP262159:JZA262159 JOT262159:JPE262159 JEX262159:JFI262159 IVB262159:IVM262159 ILF262159:ILQ262159 IBJ262159:IBU262159 HRN262159:HRY262159 HHR262159:HIC262159 GXV262159:GYG262159 GNZ262159:GOK262159 GED262159:GEO262159 FUH262159:FUS262159 FKL262159:FKW262159 FAP262159:FBA262159 EQT262159:ERE262159 EGX262159:EHI262159 DXB262159:DXM262159 DNF262159:DNQ262159 DDJ262159:DDU262159 CTN262159:CTY262159 CJR262159:CKC262159 BZV262159:CAG262159 BPZ262159:BQK262159 BGD262159:BGO262159 AWH262159:AWS262159 AML262159:AMW262159 ACP262159:ADA262159 ST262159:TE262159 IX262159:JI262159 B262156:M262156 WVJ196623:WVU196623 WLN196623:WLY196623 WBR196623:WCC196623 VRV196623:VSG196623 VHZ196623:VIK196623 UYD196623:UYO196623 UOH196623:UOS196623 UEL196623:UEW196623 TUP196623:TVA196623 TKT196623:TLE196623 TAX196623:TBI196623 SRB196623:SRM196623 SHF196623:SHQ196623 RXJ196623:RXU196623 RNN196623:RNY196623 RDR196623:REC196623 QTV196623:QUG196623 QJZ196623:QKK196623 QAD196623:QAO196623 PQH196623:PQS196623 PGL196623:PGW196623 OWP196623:OXA196623 OMT196623:ONE196623 OCX196623:ODI196623 NTB196623:NTM196623 NJF196623:NJQ196623 MZJ196623:MZU196623 MPN196623:MPY196623 MFR196623:MGC196623 LVV196623:LWG196623 LLZ196623:LMK196623 LCD196623:LCO196623 KSH196623:KSS196623 KIL196623:KIW196623 JYP196623:JZA196623 JOT196623:JPE196623 JEX196623:JFI196623 IVB196623:IVM196623 ILF196623:ILQ196623 IBJ196623:IBU196623 HRN196623:HRY196623 HHR196623:HIC196623 GXV196623:GYG196623 GNZ196623:GOK196623 GED196623:GEO196623 FUH196623:FUS196623 FKL196623:FKW196623 FAP196623:FBA196623 EQT196623:ERE196623 EGX196623:EHI196623 DXB196623:DXM196623 DNF196623:DNQ196623 DDJ196623:DDU196623 CTN196623:CTY196623 CJR196623:CKC196623 BZV196623:CAG196623 BPZ196623:BQK196623 BGD196623:BGO196623 AWH196623:AWS196623 AML196623:AMW196623 ACP196623:ADA196623 ST196623:TE196623 IX196623:JI196623 B196620:M196620 WVJ131087:WVU131087 WLN131087:WLY131087 WBR131087:WCC131087 VRV131087:VSG131087 VHZ131087:VIK131087 UYD131087:UYO131087 UOH131087:UOS131087 UEL131087:UEW131087 TUP131087:TVA131087 TKT131087:TLE131087 TAX131087:TBI131087 SRB131087:SRM131087 SHF131087:SHQ131087 RXJ131087:RXU131087 RNN131087:RNY131087 RDR131087:REC131087 QTV131087:QUG131087 QJZ131087:QKK131087 QAD131087:QAO131087 PQH131087:PQS131087 PGL131087:PGW131087 OWP131087:OXA131087 OMT131087:ONE131087 OCX131087:ODI131087 NTB131087:NTM131087 NJF131087:NJQ131087 MZJ131087:MZU131087 MPN131087:MPY131087 MFR131087:MGC131087 LVV131087:LWG131087 LLZ131087:LMK131087 LCD131087:LCO131087 KSH131087:KSS131087 KIL131087:KIW131087 JYP131087:JZA131087 JOT131087:JPE131087 JEX131087:JFI131087 IVB131087:IVM131087 ILF131087:ILQ131087 IBJ131087:IBU131087 HRN131087:HRY131087 HHR131087:HIC131087 GXV131087:GYG131087 GNZ131087:GOK131087 GED131087:GEO131087 FUH131087:FUS131087 FKL131087:FKW131087 FAP131087:FBA131087 EQT131087:ERE131087 EGX131087:EHI131087 DXB131087:DXM131087 DNF131087:DNQ131087 DDJ131087:DDU131087 CTN131087:CTY131087 CJR131087:CKC131087 BZV131087:CAG131087 BPZ131087:BQK131087 BGD131087:BGO131087 AWH131087:AWS131087 AML131087:AMW131087 ACP131087:ADA131087 ST131087:TE131087 IX131087:JI131087 B131084:M131084 WVJ65551:WVU65551 WLN65551:WLY65551 WBR65551:WCC65551 VRV65551:VSG65551 VHZ65551:VIK65551 UYD65551:UYO65551 UOH65551:UOS65551 UEL65551:UEW65551 TUP65551:TVA65551 TKT65551:TLE65551 TAX65551:TBI65551 SRB65551:SRM65551 SHF65551:SHQ65551 RXJ65551:RXU65551 RNN65551:RNY65551 RDR65551:REC65551 QTV65551:QUG65551 QJZ65551:QKK65551 QAD65551:QAO65551 PQH65551:PQS65551 PGL65551:PGW65551 OWP65551:OXA65551 OMT65551:ONE65551 OCX65551:ODI65551 NTB65551:NTM65551 NJF65551:NJQ65551 MZJ65551:MZU65551 MPN65551:MPY65551 MFR65551:MGC65551 LVV65551:LWG65551 LLZ65551:LMK65551 LCD65551:LCO65551 KSH65551:KSS65551 KIL65551:KIW65551 JYP65551:JZA65551 JOT65551:JPE65551 JEX65551:JFI65551 IVB65551:IVM65551 ILF65551:ILQ65551 IBJ65551:IBU65551 HRN65551:HRY65551 HHR65551:HIC65551 GXV65551:GYG65551 GNZ65551:GOK65551 GED65551:GEO65551 FUH65551:FUS65551 FKL65551:FKW65551 FAP65551:FBA65551 EQT65551:ERE65551 EGX65551:EHI65551 DXB65551:DXM65551 DNF65551:DNQ65551 DDJ65551:DDU65551 CTN65551:CTY65551 CJR65551:CKC65551 BZV65551:CAG65551 BPZ65551:BQK65551 BGD65551:BGO65551 AWH65551:AWS65551 AML65551:AMW65551 ACP65551:ADA65551 ST65551:TE65551 IX65551:JI65551 B65548:M65548 WVJ18:WVU18 WLN18:WLY18 WBR18:WCC18 VRV18:VSG18 VHZ18:VIK18 UYD18:UYO18 UOH18:UOS18 UEL18:UEW18 TUP18:TVA18 TKT18:TLE18 TAX18:TBI18 SRB18:SRM18 SHF18:SHQ18 RXJ18:RXU18 RNN18:RNY18 RDR18:REC18 QTV18:QUG18 QJZ18:QKK18 QAD18:QAO18 PQH18:PQS18 PGL18:PGW18 OWP18:OXA18 OMT18:ONE18 OCX18:ODI18 NTB18:NTM18 NJF18:NJQ18 MZJ18:MZU18 MPN18:MPY18 MFR18:MGC18 LVV18:LWG18 LLZ18:LMK18 LCD18:LCO18 KSH18:KSS18 KIL18:KIW18 JYP18:JZA18 JOT18:JPE18 JEX18:JFI18 IVB18:IVM18 ILF18:ILQ18 IBJ18:IBU18 HRN18:HRY18 HHR18:HIC18 GXV18:GYG18 GNZ18:GOK18 GED18:GEO18 FUH18:FUS18 FKL18:FKW18 FAP18:FBA18 EQT18:ERE18 EGX18:EHI18 DXB18:DXM18 DNF18:DNQ18 DDJ18:DDU18 CTN18:CTY18 CJR18:CKC18 BZV18:CAG18 BPZ18:BQK18 BGD18:BGO18 AWH18:AWS18 AML18:AMW18 ACP18:ADA18 ST18:TE18 U17">
      <formula1>$AM$17:$AM$19</formula1>
    </dataValidation>
  </dataValidations>
  <printOptions horizontalCentered="1"/>
  <pageMargins left="0.59055118110236227" right="0.39370078740157483" top="0.59055118110236227" bottom="0.59055118110236227" header="0" footer="0.19685039370078741"/>
  <pageSetup orientation="portrait" r:id="rId1"/>
  <headerFooter alignWithMargins="0">
    <oddHeader xml:space="preserve">&amp;L&amp;"Eurostile Extended,Regular Negrita"&amp;16
</oddHeader>
    <oddFooter>&amp;L&amp;6Calle 26 No.69-76 Edificio Elemento Torre 1, Piso 3 – C.P. 111071
PBX: 3779555 – Información: Línea 195
Sede Operativa - Atención al Ciudadano: Calle 22D No. 120-40
www.umv.gov.co&amp;C&amp;6Página 1 de 1</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I76"/>
  <sheetViews>
    <sheetView showGridLines="0" view="pageBreakPreview" zoomScaleSheetLayoutView="100" workbookViewId="0">
      <selection activeCell="I6" sqref="I6:J6"/>
    </sheetView>
  </sheetViews>
  <sheetFormatPr baseColWidth="10" defaultColWidth="9.140625" defaultRowHeight="12.75"/>
  <cols>
    <col min="1" max="1" width="2.7109375" style="229" customWidth="1"/>
    <col min="2" max="2" width="15.140625" style="229" customWidth="1"/>
    <col min="3" max="12" width="8.28515625" style="229" customWidth="1"/>
    <col min="13" max="13" width="9.140625" style="873" customWidth="1"/>
    <col min="14" max="14" width="27.85546875" style="873" bestFit="1" customWidth="1"/>
    <col min="15" max="15" width="8.140625" style="229" bestFit="1" customWidth="1"/>
    <col min="16" max="16384" width="9.140625" style="229"/>
  </cols>
  <sheetData>
    <row r="1" spans="1:35" ht="15" customHeight="1">
      <c r="A1" s="871"/>
      <c r="B1" s="872"/>
      <c r="C1" s="2986" t="s">
        <v>163</v>
      </c>
      <c r="D1" s="2987"/>
      <c r="E1" s="2987"/>
      <c r="F1" s="2987"/>
      <c r="G1" s="2987"/>
      <c r="H1" s="2987"/>
      <c r="I1" s="2987"/>
      <c r="J1" s="2987"/>
      <c r="K1" s="2987"/>
      <c r="L1" s="2988"/>
    </row>
    <row r="2" spans="1:35" ht="15" customHeight="1">
      <c r="A2" s="875"/>
      <c r="B2" s="876"/>
      <c r="C2" s="2989" t="s">
        <v>719</v>
      </c>
      <c r="D2" s="2990"/>
      <c r="E2" s="2990"/>
      <c r="F2" s="2990"/>
      <c r="G2" s="2990"/>
      <c r="H2" s="2990"/>
      <c r="I2" s="2990"/>
      <c r="J2" s="2990"/>
      <c r="K2" s="2990"/>
      <c r="L2" s="2991"/>
    </row>
    <row r="3" spans="1:35" ht="15" customHeight="1">
      <c r="A3" s="875"/>
      <c r="B3" s="876"/>
      <c r="C3" s="2992" t="s">
        <v>720</v>
      </c>
      <c r="D3" s="3476"/>
      <c r="E3" s="3476"/>
      <c r="F3" s="3476"/>
      <c r="G3" s="3476"/>
      <c r="H3" s="3476"/>
      <c r="I3" s="3476"/>
      <c r="J3" s="3476"/>
      <c r="K3" s="3476"/>
      <c r="L3" s="2994"/>
    </row>
    <row r="4" spans="1:35" ht="12.95" customHeight="1">
      <c r="A4" s="875"/>
      <c r="B4" s="876"/>
      <c r="C4" s="2985" t="s">
        <v>822</v>
      </c>
      <c r="D4" s="2985"/>
      <c r="E4" s="2985"/>
      <c r="F4" s="2985"/>
      <c r="G4" s="2985"/>
      <c r="H4" s="2985"/>
      <c r="I4" s="2985"/>
      <c r="J4" s="2985" t="s">
        <v>817</v>
      </c>
      <c r="K4" s="2985"/>
      <c r="L4" s="2985"/>
    </row>
    <row r="5" spans="1:35" ht="12.95" customHeight="1">
      <c r="A5" s="875"/>
      <c r="B5" s="876"/>
      <c r="C5" s="2985" t="s">
        <v>804</v>
      </c>
      <c r="D5" s="2985"/>
      <c r="E5" s="2985"/>
      <c r="F5" s="2985"/>
      <c r="G5" s="2985"/>
      <c r="H5" s="2985"/>
      <c r="I5" s="2985"/>
      <c r="J5" s="2985"/>
      <c r="K5" s="2985"/>
      <c r="L5" s="2985"/>
    </row>
    <row r="6" spans="1:35" ht="14.1" customHeight="1">
      <c r="A6" s="3477" t="s">
        <v>5</v>
      </c>
      <c r="B6" s="3478"/>
      <c r="C6" s="3236" t="str">
        <f>IF('Gradacion '!E6="","",+'Gradacion '!E6)</f>
        <v/>
      </c>
      <c r="D6" s="3236"/>
      <c r="E6" s="3236"/>
      <c r="F6" s="3236"/>
      <c r="G6" s="3236"/>
      <c r="H6" s="3236"/>
      <c r="I6" s="2539" t="s">
        <v>324</v>
      </c>
      <c r="J6" s="2539"/>
      <c r="K6" s="3485"/>
      <c r="L6" s="3486"/>
      <c r="M6" s="1204">
        <v>1</v>
      </c>
      <c r="N6" s="1204"/>
      <c r="O6" s="1204"/>
      <c r="P6" s="1204"/>
      <c r="Q6" s="1204"/>
      <c r="R6" s="1204"/>
      <c r="S6" s="1204"/>
      <c r="T6" s="1204"/>
      <c r="U6" s="1204"/>
      <c r="W6" s="1042"/>
      <c r="X6" s="1042"/>
      <c r="Y6" s="1042"/>
      <c r="Z6" s="1042"/>
      <c r="AA6" s="1042"/>
      <c r="AB6" s="1042"/>
      <c r="AC6" s="1042"/>
      <c r="AD6" s="3479"/>
      <c r="AE6" s="3479"/>
      <c r="AF6" s="3479"/>
      <c r="AG6" s="3479"/>
      <c r="AH6" s="3479"/>
      <c r="AI6" s="3480"/>
    </row>
    <row r="7" spans="1:35" ht="14.1" customHeight="1">
      <c r="A7" s="3481" t="s">
        <v>17</v>
      </c>
      <c r="B7" s="3482"/>
      <c r="C7" s="3484" t="str">
        <f>IF('Gradacion '!E7="","",+'Gradacion '!E7)</f>
        <v/>
      </c>
      <c r="D7" s="3484"/>
      <c r="E7" s="3483" t="s">
        <v>18</v>
      </c>
      <c r="F7" s="3483"/>
      <c r="G7" s="3487" t="str">
        <f>IF('Gradacion '!O7="","",+'Gradacion '!O7)</f>
        <v/>
      </c>
      <c r="H7" s="3487"/>
      <c r="I7" s="3482" t="s">
        <v>40</v>
      </c>
      <c r="J7" s="3482"/>
      <c r="K7" s="3238" t="str">
        <f>IF('Gradacion '!AB7="","",+'Gradacion '!AB7)</f>
        <v/>
      </c>
      <c r="L7" s="3239"/>
      <c r="M7" s="1205">
        <v>2</v>
      </c>
      <c r="N7" s="1205"/>
      <c r="O7" s="1205"/>
      <c r="P7" s="1205"/>
      <c r="Q7" s="1205"/>
      <c r="R7" s="1205"/>
      <c r="S7" s="1205"/>
      <c r="T7" s="1205"/>
      <c r="U7" s="1205"/>
      <c r="W7" s="1043"/>
      <c r="X7" s="1043"/>
      <c r="Y7" s="1043"/>
      <c r="Z7" s="1043"/>
      <c r="AA7" s="1043"/>
      <c r="AB7" s="1043"/>
      <c r="AC7" s="1043"/>
      <c r="AD7" s="3238">
        <f>IF('[35]Gradacion '!AB7="","",+'[35]Gradacion '!AB7)</f>
        <v>0</v>
      </c>
      <c r="AE7" s="3238"/>
      <c r="AF7" s="3238"/>
      <c r="AG7" s="3238"/>
      <c r="AH7" s="3238"/>
      <c r="AI7" s="3239"/>
    </row>
    <row r="8" spans="1:35" ht="14.1" customHeight="1">
      <c r="A8" s="3481" t="s">
        <v>6</v>
      </c>
      <c r="B8" s="3482"/>
      <c r="C8" s="3484" t="str">
        <f>IF('Gradacion '!E8="","",+'Gradacion '!E8)</f>
        <v/>
      </c>
      <c r="D8" s="3484"/>
      <c r="E8" s="3482" t="s">
        <v>19</v>
      </c>
      <c r="F8" s="3482"/>
      <c r="G8" s="3487" t="str">
        <f>IF('Gradacion '!O8="","",+'Gradacion '!O8)</f>
        <v/>
      </c>
      <c r="H8" s="3487"/>
      <c r="I8" s="3482" t="s">
        <v>407</v>
      </c>
      <c r="J8" s="3482"/>
      <c r="K8" s="3215"/>
      <c r="L8" s="3216"/>
      <c r="M8" s="1205">
        <v>3</v>
      </c>
      <c r="N8" s="1205"/>
      <c r="O8" s="1205"/>
      <c r="P8" s="1205"/>
      <c r="Q8" s="1205"/>
      <c r="R8" s="1205"/>
      <c r="S8" s="1205"/>
      <c r="T8" s="1205"/>
      <c r="U8" s="1205"/>
      <c r="W8" s="1043"/>
      <c r="X8" s="1043"/>
      <c r="Y8" s="1043"/>
      <c r="Z8" s="1043"/>
      <c r="AA8" s="1043"/>
      <c r="AB8" s="1043"/>
      <c r="AC8" s="1043"/>
      <c r="AD8" s="3215">
        <f>IF('[35]Gradacion '!AB8="","",+'[35]Gradacion '!AB8)</f>
        <v>0</v>
      </c>
      <c r="AE8" s="3215"/>
      <c r="AF8" s="3215"/>
      <c r="AG8" s="3215"/>
      <c r="AH8" s="3215"/>
      <c r="AI8" s="3216"/>
    </row>
    <row r="9" spans="1:35" ht="14.1" customHeight="1">
      <c r="A9" s="3488" t="s">
        <v>465</v>
      </c>
      <c r="B9" s="3489"/>
      <c r="C9" s="3242" t="str">
        <f>IF('Gradacion '!E9="","",+'Gradacion '!E9)</f>
        <v/>
      </c>
      <c r="D9" s="3242"/>
      <c r="E9" s="3242"/>
      <c r="F9" s="3242"/>
      <c r="G9" s="3242"/>
      <c r="H9" s="3242"/>
      <c r="I9" s="3490" t="s">
        <v>633</v>
      </c>
      <c r="J9" s="3490"/>
      <c r="K9" s="3238" t="str">
        <f>IF('Gradacion '!AB9="","",+'Gradacion '!AB9)</f>
        <v/>
      </c>
      <c r="L9" s="3239"/>
      <c r="M9" s="1206">
        <v>4</v>
      </c>
      <c r="N9" s="1206"/>
      <c r="O9" s="1206"/>
      <c r="P9" s="1206"/>
      <c r="Q9" s="1206"/>
      <c r="R9" s="1206"/>
      <c r="S9" s="1206"/>
      <c r="T9" s="1206"/>
      <c r="U9" s="1206"/>
      <c r="W9" s="1207"/>
      <c r="X9" s="1207"/>
      <c r="Y9" s="1207"/>
      <c r="Z9" s="1207"/>
      <c r="AA9" s="1207"/>
      <c r="AB9" s="1207"/>
      <c r="AC9" s="1207"/>
      <c r="AD9" s="3238">
        <f>IF('[35]Gradacion '!AB9="","",+'[35]Gradacion '!AB9)</f>
        <v>0</v>
      </c>
      <c r="AE9" s="3238"/>
      <c r="AF9" s="3238"/>
      <c r="AG9" s="3238"/>
      <c r="AH9" s="3238"/>
      <c r="AI9" s="3239"/>
    </row>
    <row r="10" spans="1:35" s="878" customFormat="1" ht="16.5" customHeight="1">
      <c r="A10" s="3008"/>
      <c r="B10" s="3009"/>
      <c r="C10" s="3009"/>
      <c r="D10" s="3009"/>
      <c r="E10" s="3009"/>
      <c r="F10" s="3009"/>
      <c r="G10" s="3009"/>
      <c r="H10" s="3009"/>
      <c r="I10" s="3009"/>
      <c r="J10" s="3009"/>
      <c r="K10" s="3009"/>
      <c r="L10" s="3010"/>
      <c r="M10" s="873">
        <v>5</v>
      </c>
      <c r="N10" s="877"/>
    </row>
    <row r="11" spans="1:35" s="231" customFormat="1" ht="15" customHeight="1">
      <c r="A11" s="875"/>
      <c r="B11" s="605"/>
      <c r="C11" s="605"/>
      <c r="D11" s="606"/>
      <c r="E11" s="607"/>
      <c r="F11" s="607"/>
      <c r="G11" s="605"/>
      <c r="H11" s="605"/>
      <c r="I11" s="605"/>
      <c r="J11" s="605"/>
      <c r="K11" s="605"/>
      <c r="L11" s="813"/>
      <c r="M11" s="873"/>
      <c r="N11" s="886"/>
      <c r="P11" s="233"/>
      <c r="Q11" s="233"/>
      <c r="R11" s="233"/>
    </row>
    <row r="12" spans="1:35" s="231" customFormat="1" ht="37.5" customHeight="1">
      <c r="A12" s="875"/>
      <c r="B12" s="887"/>
      <c r="C12" s="2976" t="s">
        <v>721</v>
      </c>
      <c r="D12" s="2977"/>
      <c r="E12" s="2977"/>
      <c r="F12" s="2977"/>
      <c r="G12" s="2977"/>
      <c r="H12" s="2977"/>
      <c r="I12" s="2977"/>
      <c r="J12" s="2978"/>
      <c r="K12" s="607"/>
      <c r="L12" s="946"/>
      <c r="M12" s="885"/>
      <c r="N12" s="886"/>
      <c r="P12" s="233"/>
      <c r="Q12" s="233"/>
      <c r="R12" s="233"/>
    </row>
    <row r="13" spans="1:35" s="231" customFormat="1" ht="37.5" customHeight="1">
      <c r="A13" s="875"/>
      <c r="B13" s="888"/>
      <c r="C13" s="3494"/>
      <c r="D13" s="3495"/>
      <c r="E13" s="3495"/>
      <c r="F13" s="3495"/>
      <c r="G13" s="3495"/>
      <c r="H13" s="3495"/>
      <c r="I13" s="3495"/>
      <c r="J13" s="3496"/>
      <c r="K13" s="607"/>
      <c r="L13" s="946"/>
      <c r="N13" s="886"/>
      <c r="P13" s="233"/>
      <c r="Q13" s="233"/>
      <c r="R13" s="233"/>
    </row>
    <row r="14" spans="1:35" s="84" customFormat="1" ht="17.100000000000001" customHeight="1">
      <c r="A14" s="3491"/>
      <c r="B14" s="3492"/>
      <c r="C14" s="3492"/>
      <c r="D14" s="3492"/>
      <c r="E14" s="3492"/>
      <c r="F14" s="3492"/>
      <c r="G14" s="3492"/>
      <c r="H14" s="3492"/>
      <c r="I14" s="3492"/>
      <c r="J14" s="3492"/>
      <c r="K14" s="3492"/>
      <c r="L14" s="3493"/>
      <c r="N14" s="798"/>
    </row>
    <row r="15" spans="1:35" s="84" customFormat="1" ht="17.100000000000001" customHeight="1">
      <c r="A15" s="3491"/>
      <c r="B15" s="3492"/>
      <c r="C15" s="3492"/>
      <c r="D15" s="3492"/>
      <c r="E15" s="3492"/>
      <c r="F15" s="3492"/>
      <c r="G15" s="3492"/>
      <c r="H15" s="3492"/>
      <c r="I15" s="3492"/>
      <c r="J15" s="3492"/>
      <c r="K15" s="3492"/>
      <c r="L15" s="3493"/>
      <c r="N15" s="798"/>
    </row>
    <row r="16" spans="1:35" s="84" customFormat="1" ht="17.100000000000001" customHeight="1">
      <c r="A16" s="3491"/>
      <c r="B16" s="3492"/>
      <c r="C16" s="3492"/>
      <c r="D16" s="3492"/>
      <c r="E16" s="3492"/>
      <c r="F16" s="3492"/>
      <c r="G16" s="3492"/>
      <c r="H16" s="3492"/>
      <c r="I16" s="3492"/>
      <c r="J16" s="3492"/>
      <c r="K16" s="3492"/>
      <c r="L16" s="3493"/>
      <c r="N16" s="798"/>
    </row>
    <row r="17" spans="1:19" s="84" customFormat="1" ht="17.100000000000001" customHeight="1">
      <c r="A17" s="3491"/>
      <c r="B17" s="3492"/>
      <c r="C17" s="3492"/>
      <c r="D17" s="3492"/>
      <c r="E17" s="3492"/>
      <c r="F17" s="3492"/>
      <c r="G17" s="3492"/>
      <c r="H17" s="3492"/>
      <c r="I17" s="3492"/>
      <c r="J17" s="3492"/>
      <c r="K17" s="3492"/>
      <c r="L17" s="3493"/>
      <c r="N17" s="798"/>
    </row>
    <row r="18" spans="1:19" s="84" customFormat="1" ht="17.100000000000001" customHeight="1">
      <c r="A18" s="3491"/>
      <c r="B18" s="3492"/>
      <c r="C18" s="3492"/>
      <c r="D18" s="3492"/>
      <c r="E18" s="3492"/>
      <c r="F18" s="3492"/>
      <c r="G18" s="3492"/>
      <c r="H18" s="3492"/>
      <c r="I18" s="3492"/>
      <c r="J18" s="3492"/>
      <c r="K18" s="3492"/>
      <c r="L18" s="3493"/>
      <c r="N18" s="798"/>
    </row>
    <row r="19" spans="1:19" s="84" customFormat="1" ht="17.100000000000001" customHeight="1">
      <c r="A19" s="3491"/>
      <c r="B19" s="3492"/>
      <c r="C19" s="3492"/>
      <c r="D19" s="3492"/>
      <c r="E19" s="3492"/>
      <c r="F19" s="3492"/>
      <c r="G19" s="3492"/>
      <c r="H19" s="3492"/>
      <c r="I19" s="3492"/>
      <c r="J19" s="3492"/>
      <c r="K19" s="3492"/>
      <c r="L19" s="3493"/>
      <c r="N19" s="798"/>
    </row>
    <row r="20" spans="1:19" s="84" customFormat="1" ht="17.100000000000001" customHeight="1">
      <c r="A20" s="3491"/>
      <c r="B20" s="3492"/>
      <c r="C20" s="3492"/>
      <c r="D20" s="3492"/>
      <c r="E20" s="3492"/>
      <c r="F20" s="3492"/>
      <c r="G20" s="3492"/>
      <c r="H20" s="3492"/>
      <c r="I20" s="3492"/>
      <c r="J20" s="3492"/>
      <c r="K20" s="3492"/>
      <c r="L20" s="3493"/>
      <c r="N20" s="798"/>
    </row>
    <row r="21" spans="1:19" s="84" customFormat="1" ht="17.100000000000001" customHeight="1">
      <c r="A21" s="3491"/>
      <c r="B21" s="3492"/>
      <c r="C21" s="3492"/>
      <c r="D21" s="3492"/>
      <c r="E21" s="3492"/>
      <c r="F21" s="3492"/>
      <c r="G21" s="3492"/>
      <c r="H21" s="3492"/>
      <c r="I21" s="3492"/>
      <c r="J21" s="3492"/>
      <c r="K21" s="3492"/>
      <c r="L21" s="3493"/>
      <c r="N21" s="798"/>
    </row>
    <row r="22" spans="1:19" s="84" customFormat="1" ht="17.100000000000001" customHeight="1">
      <c r="A22" s="3491"/>
      <c r="B22" s="3492"/>
      <c r="C22" s="3492"/>
      <c r="D22" s="3492"/>
      <c r="E22" s="3492"/>
      <c r="F22" s="3492"/>
      <c r="G22" s="3492"/>
      <c r="H22" s="3492"/>
      <c r="I22" s="3492"/>
      <c r="J22" s="3492"/>
      <c r="K22" s="3492"/>
      <c r="L22" s="3493"/>
      <c r="N22" s="798"/>
    </row>
    <row r="23" spans="1:19" s="84" customFormat="1" ht="17.100000000000001" customHeight="1">
      <c r="A23" s="3491"/>
      <c r="B23" s="3492"/>
      <c r="C23" s="3492"/>
      <c r="D23" s="3492"/>
      <c r="E23" s="3492"/>
      <c r="F23" s="3492"/>
      <c r="G23" s="3492"/>
      <c r="H23" s="3492"/>
      <c r="I23" s="3492"/>
      <c r="J23" s="3492"/>
      <c r="K23" s="3492"/>
      <c r="L23" s="3493"/>
      <c r="N23" s="798"/>
    </row>
    <row r="24" spans="1:19" s="84" customFormat="1" ht="17.100000000000001" customHeight="1">
      <c r="A24" s="3491"/>
      <c r="B24" s="3492"/>
      <c r="C24" s="3492"/>
      <c r="D24" s="3492"/>
      <c r="E24" s="3492"/>
      <c r="F24" s="3492"/>
      <c r="G24" s="3492"/>
      <c r="H24" s="3492"/>
      <c r="I24" s="3492"/>
      <c r="J24" s="3492"/>
      <c r="K24" s="3492"/>
      <c r="L24" s="3493"/>
      <c r="N24" s="798"/>
    </row>
    <row r="25" spans="1:19" s="84" customFormat="1" ht="17.100000000000001" customHeight="1">
      <c r="A25" s="3491"/>
      <c r="B25" s="3492"/>
      <c r="C25" s="3492"/>
      <c r="D25" s="3492"/>
      <c r="E25" s="3492"/>
      <c r="F25" s="3492"/>
      <c r="G25" s="3492"/>
      <c r="H25" s="3492"/>
      <c r="I25" s="3492"/>
      <c r="J25" s="3492"/>
      <c r="K25" s="3492"/>
      <c r="L25" s="3493"/>
      <c r="N25" s="798"/>
    </row>
    <row r="26" spans="1:19" s="84" customFormat="1" ht="17.100000000000001" customHeight="1">
      <c r="A26" s="3030"/>
      <c r="B26" s="3497"/>
      <c r="C26" s="3497"/>
      <c r="D26" s="3497"/>
      <c r="E26" s="3497"/>
      <c r="F26" s="3497"/>
      <c r="G26" s="3497"/>
      <c r="H26" s="3497"/>
      <c r="I26" s="3497"/>
      <c r="J26" s="3497"/>
      <c r="K26" s="3497"/>
      <c r="L26" s="3032"/>
      <c r="N26" s="798"/>
    </row>
    <row r="27" spans="1:19" ht="20.100000000000001" customHeight="1">
      <c r="A27" s="3033" t="s">
        <v>20</v>
      </c>
      <c r="B27" s="3034"/>
      <c r="C27" s="2961"/>
      <c r="D27" s="2961"/>
      <c r="E27" s="2961"/>
      <c r="F27" s="2961"/>
      <c r="G27" s="2961"/>
      <c r="H27" s="2961"/>
      <c r="I27" s="2961"/>
      <c r="J27" s="2961"/>
      <c r="K27" s="2961"/>
      <c r="L27" s="2962"/>
      <c r="M27" s="229"/>
      <c r="O27" s="231"/>
      <c r="P27" s="231"/>
      <c r="Q27" s="231"/>
      <c r="R27" s="231"/>
      <c r="S27" s="231"/>
    </row>
    <row r="28" spans="1:19" ht="38.1" customHeight="1">
      <c r="A28" s="3035"/>
      <c r="B28" s="3498"/>
      <c r="C28" s="3498"/>
      <c r="D28" s="3498"/>
      <c r="E28" s="3498"/>
      <c r="F28" s="3498"/>
      <c r="G28" s="3498"/>
      <c r="H28" s="3498"/>
      <c r="I28" s="3498"/>
      <c r="J28" s="3498"/>
      <c r="K28" s="3498"/>
      <c r="L28" s="3037"/>
      <c r="M28" s="229"/>
      <c r="O28" s="231"/>
      <c r="P28" s="231"/>
      <c r="Q28" s="231"/>
      <c r="R28" s="231"/>
      <c r="S28" s="231"/>
    </row>
    <row r="29" spans="1:19">
      <c r="A29" s="3012"/>
      <c r="B29" s="3013"/>
      <c r="C29" s="3014"/>
      <c r="D29" s="3015" t="s">
        <v>10</v>
      </c>
      <c r="E29" s="3016"/>
      <c r="F29" s="3017"/>
      <c r="G29" s="3015" t="s">
        <v>11</v>
      </c>
      <c r="H29" s="3016"/>
      <c r="I29" s="3017"/>
      <c r="J29" s="3018" t="s">
        <v>12</v>
      </c>
      <c r="K29" s="3019"/>
      <c r="L29" s="3020"/>
      <c r="M29" s="229"/>
      <c r="O29" s="231"/>
      <c r="P29" s="231"/>
      <c r="Q29" s="231"/>
      <c r="R29" s="231"/>
      <c r="S29" s="231"/>
    </row>
    <row r="30" spans="1:19" ht="44.25" customHeight="1">
      <c r="A30" s="3041" t="s">
        <v>13</v>
      </c>
      <c r="B30" s="3042"/>
      <c r="C30" s="3043"/>
      <c r="D30" s="3044"/>
      <c r="E30" s="3045"/>
      <c r="F30" s="3046"/>
      <c r="G30" s="3044"/>
      <c r="H30" s="3045"/>
      <c r="I30" s="3046"/>
      <c r="J30" s="3047"/>
      <c r="K30" s="3048"/>
      <c r="L30" s="3049"/>
      <c r="O30" s="231"/>
      <c r="P30" s="231"/>
      <c r="Q30" s="231"/>
      <c r="R30" s="231"/>
      <c r="S30" s="231"/>
    </row>
    <row r="31" spans="1:19" ht="15" customHeight="1">
      <c r="A31" s="3050" t="s">
        <v>622</v>
      </c>
      <c r="B31" s="3051"/>
      <c r="C31" s="3052"/>
      <c r="D31" s="3053" t="s">
        <v>560</v>
      </c>
      <c r="E31" s="3054"/>
      <c r="F31" s="3055"/>
      <c r="G31" s="3053" t="s">
        <v>560</v>
      </c>
      <c r="H31" s="3054"/>
      <c r="I31" s="3055"/>
      <c r="J31" s="3053" t="s">
        <v>560</v>
      </c>
      <c r="K31" s="3054"/>
      <c r="L31" s="3056"/>
      <c r="O31" s="231"/>
      <c r="P31" s="231"/>
      <c r="Q31" s="231"/>
      <c r="R31" s="231"/>
      <c r="S31" s="231"/>
    </row>
    <row r="32" spans="1:19" ht="15" customHeight="1" thickBot="1">
      <c r="A32" s="3057" t="s">
        <v>14</v>
      </c>
      <c r="B32" s="3058"/>
      <c r="C32" s="3059"/>
      <c r="D32" s="3499" t="str">
        <f>IF(D31="--","",VLOOKUP(D31,firmas!A2:B31,2,0))</f>
        <v/>
      </c>
      <c r="E32" s="3500"/>
      <c r="F32" s="3501"/>
      <c r="G32" s="3499" t="str">
        <f>IF(G31="--","",VLOOKUP(G31,firmas!A33:B35,2,0))</f>
        <v/>
      </c>
      <c r="H32" s="3500"/>
      <c r="I32" s="3501"/>
      <c r="J32" s="3060" t="str">
        <f>IF(J31="--","",VLOOKUP(J31,[34]firmas!A33:B34,2))</f>
        <v/>
      </c>
      <c r="K32" s="3061"/>
      <c r="L32" s="3063"/>
      <c r="O32" s="231"/>
      <c r="P32" s="231"/>
      <c r="Q32" s="231"/>
      <c r="R32" s="231"/>
      <c r="S32" s="231"/>
    </row>
    <row r="33" spans="1:19" ht="15" customHeight="1" thickTop="1" thickBot="1">
      <c r="A33" s="2923" t="s">
        <v>24</v>
      </c>
      <c r="B33" s="2923"/>
      <c r="C33" s="2923"/>
      <c r="D33" s="2923"/>
      <c r="E33" s="2923"/>
      <c r="F33" s="2923"/>
      <c r="G33" s="2923"/>
      <c r="H33" s="2923"/>
      <c r="I33" s="2923"/>
      <c r="J33" s="2923"/>
      <c r="K33" s="2923"/>
      <c r="L33" s="2923"/>
      <c r="O33" s="231"/>
      <c r="P33" s="231"/>
      <c r="Q33" s="231"/>
      <c r="R33" s="231"/>
      <c r="S33" s="231"/>
    </row>
    <row r="34" spans="1:19" ht="21.95" customHeight="1" thickTop="1">
      <c r="A34" s="2895" t="s">
        <v>161</v>
      </c>
      <c r="B34" s="2895"/>
      <c r="C34" s="2895"/>
      <c r="D34" s="2895"/>
      <c r="E34" s="2895"/>
      <c r="F34" s="2895"/>
      <c r="G34" s="2895"/>
      <c r="H34" s="2895"/>
      <c r="I34" s="2895"/>
      <c r="J34" s="2895"/>
      <c r="K34" s="2895"/>
      <c r="L34" s="2895"/>
      <c r="O34" s="231"/>
      <c r="P34" s="231"/>
      <c r="Q34" s="231"/>
      <c r="R34" s="231"/>
      <c r="S34" s="231"/>
    </row>
    <row r="35" spans="1:19" ht="30" customHeight="1">
      <c r="A35" s="2916" t="s">
        <v>175</v>
      </c>
      <c r="B35" s="2916"/>
      <c r="C35" s="2916"/>
      <c r="D35" s="2916"/>
      <c r="E35" s="2916"/>
      <c r="F35" s="2916"/>
      <c r="G35" s="2916"/>
      <c r="H35" s="2916"/>
      <c r="I35" s="2916"/>
      <c r="J35" s="2916"/>
      <c r="K35" s="2916"/>
      <c r="L35" s="2916"/>
      <c r="O35" s="231"/>
      <c r="P35" s="231"/>
      <c r="Q35" s="231"/>
      <c r="R35" s="231"/>
      <c r="S35" s="231"/>
    </row>
    <row r="36" spans="1:19">
      <c r="O36" s="231"/>
      <c r="P36" s="231"/>
      <c r="Q36" s="231"/>
      <c r="R36" s="231"/>
      <c r="S36" s="231"/>
    </row>
    <row r="37" spans="1:19">
      <c r="O37" s="231"/>
      <c r="P37" s="231"/>
      <c r="Q37" s="231"/>
      <c r="R37" s="231"/>
      <c r="S37" s="231"/>
    </row>
    <row r="38" spans="1:19">
      <c r="O38" s="231"/>
      <c r="P38" s="231"/>
      <c r="Q38" s="231"/>
      <c r="R38" s="231"/>
      <c r="S38" s="231"/>
    </row>
    <row r="39" spans="1:19">
      <c r="O39" s="231"/>
      <c r="P39" s="231"/>
      <c r="Q39" s="231"/>
      <c r="R39" s="231"/>
      <c r="S39" s="231"/>
    </row>
    <row r="40" spans="1:19">
      <c r="O40" s="231"/>
      <c r="P40" s="231"/>
      <c r="Q40" s="231"/>
      <c r="R40" s="231"/>
      <c r="S40" s="231"/>
    </row>
    <row r="41" spans="1:19">
      <c r="O41" s="231"/>
      <c r="P41" s="231"/>
      <c r="Q41" s="231"/>
      <c r="R41" s="231"/>
      <c r="S41" s="231"/>
    </row>
    <row r="42" spans="1:19">
      <c r="O42" s="231"/>
      <c r="P42" s="231"/>
      <c r="Q42" s="231"/>
      <c r="R42" s="231"/>
      <c r="S42" s="231"/>
    </row>
    <row r="43" spans="1:19">
      <c r="O43" s="231"/>
      <c r="P43" s="231"/>
      <c r="Q43" s="231"/>
      <c r="R43" s="231"/>
      <c r="S43" s="231"/>
    </row>
    <row r="44" spans="1:19">
      <c r="O44" s="231"/>
      <c r="P44" s="231"/>
      <c r="Q44" s="231"/>
      <c r="R44" s="231"/>
      <c r="S44" s="231"/>
    </row>
    <row r="45" spans="1:19">
      <c r="O45" s="231"/>
      <c r="P45" s="231"/>
      <c r="Q45" s="231"/>
      <c r="R45" s="231"/>
      <c r="S45" s="231"/>
    </row>
    <row r="46" spans="1:19">
      <c r="O46" s="231"/>
      <c r="P46" s="231"/>
      <c r="Q46" s="231"/>
      <c r="R46" s="231"/>
      <c r="S46" s="231"/>
    </row>
    <row r="47" spans="1:19">
      <c r="O47" s="231"/>
      <c r="P47" s="231"/>
      <c r="Q47" s="231"/>
      <c r="R47" s="231"/>
      <c r="S47" s="231"/>
    </row>
    <row r="48" spans="1:19">
      <c r="O48" s="231"/>
      <c r="P48" s="231"/>
      <c r="Q48" s="231"/>
      <c r="R48" s="231"/>
      <c r="S48" s="231"/>
    </row>
    <row r="49" spans="15:19">
      <c r="O49" s="231"/>
      <c r="P49" s="231"/>
      <c r="Q49" s="231"/>
      <c r="R49" s="231"/>
      <c r="S49" s="231"/>
    </row>
    <row r="50" spans="15:19">
      <c r="O50" s="231"/>
      <c r="P50" s="231"/>
      <c r="Q50" s="231"/>
      <c r="R50" s="231"/>
      <c r="S50" s="231"/>
    </row>
    <row r="51" spans="15:19">
      <c r="O51" s="231"/>
      <c r="P51" s="231"/>
      <c r="Q51" s="231"/>
      <c r="R51" s="231"/>
      <c r="S51" s="231"/>
    </row>
    <row r="52" spans="15:19">
      <c r="O52" s="231"/>
      <c r="P52" s="231"/>
      <c r="Q52" s="231"/>
      <c r="R52" s="231"/>
      <c r="S52" s="231"/>
    </row>
    <row r="53" spans="15:19">
      <c r="O53" s="231"/>
      <c r="P53" s="231"/>
      <c r="Q53" s="231"/>
      <c r="R53" s="231"/>
      <c r="S53" s="231"/>
    </row>
    <row r="54" spans="15:19">
      <c r="O54" s="231"/>
      <c r="P54" s="231"/>
      <c r="Q54" s="231"/>
      <c r="R54" s="231"/>
      <c r="S54" s="231"/>
    </row>
    <row r="55" spans="15:19">
      <c r="O55" s="231"/>
      <c r="P55" s="231"/>
      <c r="Q55" s="231"/>
      <c r="R55" s="231"/>
      <c r="S55" s="231"/>
    </row>
    <row r="56" spans="15:19">
      <c r="O56" s="231"/>
      <c r="P56" s="231"/>
      <c r="Q56" s="231"/>
      <c r="R56" s="231"/>
      <c r="S56" s="231"/>
    </row>
    <row r="57" spans="15:19">
      <c r="O57" s="231"/>
      <c r="P57" s="231"/>
      <c r="Q57" s="231"/>
      <c r="R57" s="231"/>
      <c r="S57" s="231"/>
    </row>
    <row r="58" spans="15:19">
      <c r="O58" s="231"/>
      <c r="P58" s="231"/>
      <c r="Q58" s="231"/>
      <c r="R58" s="231"/>
      <c r="S58" s="231"/>
    </row>
    <row r="59" spans="15:19">
      <c r="O59" s="231"/>
      <c r="P59" s="231"/>
      <c r="Q59" s="231"/>
      <c r="R59" s="231"/>
      <c r="S59" s="231"/>
    </row>
    <row r="60" spans="15:19">
      <c r="O60" s="231"/>
      <c r="P60" s="231"/>
      <c r="Q60" s="231"/>
      <c r="R60" s="231"/>
      <c r="S60" s="231"/>
    </row>
    <row r="61" spans="15:19">
      <c r="O61" s="231"/>
      <c r="P61" s="231"/>
      <c r="Q61" s="231"/>
      <c r="R61" s="231"/>
      <c r="S61" s="231"/>
    </row>
    <row r="62" spans="15:19">
      <c r="O62" s="231"/>
      <c r="P62" s="231"/>
      <c r="Q62" s="231"/>
      <c r="R62" s="231"/>
      <c r="S62" s="231"/>
    </row>
    <row r="63" spans="15:19">
      <c r="O63" s="231"/>
      <c r="P63" s="231"/>
      <c r="Q63" s="231"/>
      <c r="R63" s="231"/>
      <c r="S63" s="231"/>
    </row>
    <row r="64" spans="15:19">
      <c r="O64" s="231"/>
      <c r="P64" s="231"/>
      <c r="Q64" s="231"/>
      <c r="R64" s="231"/>
      <c r="S64" s="231"/>
    </row>
    <row r="65" spans="15:19">
      <c r="O65" s="231"/>
      <c r="P65" s="231"/>
      <c r="Q65" s="231"/>
      <c r="R65" s="231"/>
      <c r="S65" s="231"/>
    </row>
    <row r="66" spans="15:19">
      <c r="O66" s="231"/>
      <c r="P66" s="231"/>
      <c r="Q66" s="231"/>
      <c r="R66" s="231"/>
      <c r="S66" s="231"/>
    </row>
    <row r="67" spans="15:19">
      <c r="O67" s="231"/>
      <c r="P67" s="231"/>
      <c r="Q67" s="231"/>
      <c r="R67" s="231"/>
      <c r="S67" s="231"/>
    </row>
    <row r="68" spans="15:19">
      <c r="O68" s="231"/>
      <c r="P68" s="231"/>
      <c r="Q68" s="231"/>
      <c r="R68" s="231"/>
      <c r="S68" s="231"/>
    </row>
    <row r="69" spans="15:19">
      <c r="O69" s="231"/>
      <c r="P69" s="231"/>
      <c r="Q69" s="231"/>
      <c r="R69" s="231"/>
      <c r="S69" s="231"/>
    </row>
    <row r="70" spans="15:19">
      <c r="O70" s="231"/>
      <c r="P70" s="231"/>
      <c r="Q70" s="231"/>
      <c r="R70" s="231"/>
      <c r="S70" s="231"/>
    </row>
    <row r="71" spans="15:19">
      <c r="O71" s="231"/>
      <c r="P71" s="231"/>
      <c r="Q71" s="231"/>
      <c r="R71" s="231"/>
      <c r="S71" s="231"/>
    </row>
    <row r="72" spans="15:19">
      <c r="O72" s="231"/>
      <c r="P72" s="231"/>
      <c r="Q72" s="231"/>
      <c r="R72" s="231"/>
      <c r="S72" s="231"/>
    </row>
    <row r="73" spans="15:19">
      <c r="O73" s="231"/>
      <c r="P73" s="231"/>
      <c r="Q73" s="231"/>
      <c r="R73" s="231"/>
      <c r="S73" s="231"/>
    </row>
    <row r="74" spans="15:19">
      <c r="O74" s="231"/>
      <c r="P74" s="231"/>
      <c r="Q74" s="231"/>
      <c r="R74" s="231"/>
      <c r="S74" s="231"/>
    </row>
    <row r="75" spans="15:19">
      <c r="O75" s="231"/>
      <c r="P75" s="231"/>
      <c r="Q75" s="231"/>
      <c r="R75" s="231"/>
      <c r="S75" s="231"/>
    </row>
    <row r="76" spans="15:19">
      <c r="O76" s="231"/>
      <c r="P76" s="231"/>
      <c r="Q76" s="231"/>
      <c r="R76" s="231"/>
      <c r="S76" s="231"/>
    </row>
  </sheetData>
  <sheetProtection algorithmName="SHA-512" hashValue="dOiUuNTIb6wKkrkglPyXdhqhvmQLCoulR37z++6fpDLYFYPn/dmVxxDUdi3LYJl9KTrMoqgDxcN9WrZvxlu9Yg==" saltValue="UPWsdGYXRj00kVyE8wv5Dg==" spinCount="100000" sheet="1" formatCells="0"/>
  <mergeCells count="68">
    <mergeCell ref="A33:L33"/>
    <mergeCell ref="A34:L34"/>
    <mergeCell ref="A35:L35"/>
    <mergeCell ref="A31:C31"/>
    <mergeCell ref="D31:F31"/>
    <mergeCell ref="G31:I31"/>
    <mergeCell ref="J31:L31"/>
    <mergeCell ref="A32:C32"/>
    <mergeCell ref="D32:F32"/>
    <mergeCell ref="G32:I32"/>
    <mergeCell ref="J32:L32"/>
    <mergeCell ref="A30:C30"/>
    <mergeCell ref="D30:F30"/>
    <mergeCell ref="G30:I30"/>
    <mergeCell ref="J30:L30"/>
    <mergeCell ref="A23:L23"/>
    <mergeCell ref="A24:L24"/>
    <mergeCell ref="A25:L25"/>
    <mergeCell ref="A26:L26"/>
    <mergeCell ref="A27:B27"/>
    <mergeCell ref="C27:L27"/>
    <mergeCell ref="A28:L28"/>
    <mergeCell ref="A29:C29"/>
    <mergeCell ref="D29:F29"/>
    <mergeCell ref="G29:I29"/>
    <mergeCell ref="J29:L29"/>
    <mergeCell ref="A22:L22"/>
    <mergeCell ref="A10:L10"/>
    <mergeCell ref="C12:J12"/>
    <mergeCell ref="C13:J13"/>
    <mergeCell ref="A14:L14"/>
    <mergeCell ref="A15:L15"/>
    <mergeCell ref="A16:L16"/>
    <mergeCell ref="A17:L17"/>
    <mergeCell ref="A18:L18"/>
    <mergeCell ref="A19:L19"/>
    <mergeCell ref="A20:L20"/>
    <mergeCell ref="A21:L21"/>
    <mergeCell ref="A8:B8"/>
    <mergeCell ref="E8:F8"/>
    <mergeCell ref="I8:J8"/>
    <mergeCell ref="AD8:AI8"/>
    <mergeCell ref="A9:B9"/>
    <mergeCell ref="I9:J9"/>
    <mergeCell ref="AD9:AI9"/>
    <mergeCell ref="K8:L8"/>
    <mergeCell ref="K9:L9"/>
    <mergeCell ref="C8:D8"/>
    <mergeCell ref="C9:H9"/>
    <mergeCell ref="G8:H8"/>
    <mergeCell ref="A6:B6"/>
    <mergeCell ref="I6:J6"/>
    <mergeCell ref="AD6:AI6"/>
    <mergeCell ref="A7:B7"/>
    <mergeCell ref="E7:F7"/>
    <mergeCell ref="I7:J7"/>
    <mergeCell ref="AD7:AI7"/>
    <mergeCell ref="C6:H6"/>
    <mergeCell ref="C7:D7"/>
    <mergeCell ref="K7:L7"/>
    <mergeCell ref="K6:L6"/>
    <mergeCell ref="G7:H7"/>
    <mergeCell ref="C5:L5"/>
    <mergeCell ref="C1:L1"/>
    <mergeCell ref="C2:L2"/>
    <mergeCell ref="C3:L3"/>
    <mergeCell ref="C4:I4"/>
    <mergeCell ref="J4:L4"/>
  </mergeCells>
  <dataValidations count="1">
    <dataValidation type="list" allowBlank="1" showInputMessage="1" showErrorMessage="1" sqref="C13:J13">
      <formula1>$M$6:$M$10</formula1>
    </dataValidation>
  </dataValidations>
  <printOptions horizontalCentered="1" gridLinesSet="0"/>
  <pageMargins left="0.39370078740157483" right="0.19685039370078741" top="0" bottom="0" header="0" footer="0.78740157480314965"/>
  <pageSetup orientation="portrait" r:id="rId1"/>
  <headerFooter scaleWithDoc="0">
    <oddFooter>&amp;L&amp;"Arial,Normal"&amp;6Calle 26 No. 57-41 Torre 8 Pisos 7-8 CEMSA - CP: 1113111            
Pbx: 3779555  - Información: Línea 195     
www.umv.gov.co111311&amp;C&amp;"Arial,Normal"&amp;6GLAB-FM-004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J31:L31</xm:sqref>
        </x14:dataValidation>
        <x14:dataValidation type="list" allowBlank="1" showInputMessage="1" showErrorMessage="1">
          <x14:formula1>
            <xm:f>firmas!$A$2:$A$31</xm:f>
          </x14:formula1>
          <xm:sqref>D31:F31</xm:sqref>
        </x14:dataValidation>
        <x14:dataValidation type="list" allowBlank="1" showInputMessage="1" showErrorMessage="1">
          <x14:formula1>
            <xm:f>firmas!$A$33:$A$35</xm:f>
          </x14:formula1>
          <xm:sqref>G31:I31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E64"/>
  <sheetViews>
    <sheetView showGridLines="0" showZeros="0" view="pageBreakPreview" topLeftCell="A13" zoomScaleSheetLayoutView="100" workbookViewId="0">
      <selection activeCell="G28" sqref="G28:G29"/>
    </sheetView>
  </sheetViews>
  <sheetFormatPr baseColWidth="10" defaultColWidth="2.7109375" defaultRowHeight="12.95" customHeight="1"/>
  <cols>
    <col min="1" max="2" width="2.7109375" style="241" customWidth="1"/>
    <col min="3" max="3" width="3.7109375" style="241" customWidth="1"/>
    <col min="4" max="4" width="2.7109375" style="241" customWidth="1"/>
    <col min="5" max="5" width="4.140625" style="241" customWidth="1"/>
    <col min="6" max="6" width="2.85546875" style="241" customWidth="1"/>
    <col min="7" max="7" width="6.85546875" style="241" customWidth="1"/>
    <col min="8" max="8" width="8.140625" style="241" customWidth="1"/>
    <col min="9" max="9" width="4.42578125" style="241" customWidth="1"/>
    <col min="10" max="10" width="3.28515625" style="241" customWidth="1"/>
    <col min="11" max="11" width="2.28515625" style="241" customWidth="1"/>
    <col min="12" max="12" width="2" style="241" customWidth="1"/>
    <col min="13" max="13" width="2.42578125" style="241" customWidth="1"/>
    <col min="14" max="14" width="3" style="241" customWidth="1"/>
    <col min="15" max="15" width="1" style="241" customWidth="1"/>
    <col min="16" max="16" width="3" style="241" customWidth="1"/>
    <col min="17" max="17" width="2.28515625" style="241" customWidth="1"/>
    <col min="18" max="18" width="2.140625" style="241" customWidth="1"/>
    <col min="19" max="19" width="2" style="241" customWidth="1"/>
    <col min="20" max="20" width="2.85546875" style="241" customWidth="1"/>
    <col min="21" max="21" width="2.42578125" style="241" customWidth="1"/>
    <col min="22" max="22" width="0.85546875" style="241" customWidth="1"/>
    <col min="23" max="23" width="1.85546875" style="241" customWidth="1"/>
    <col min="24" max="24" width="3" style="241" customWidth="1"/>
    <col min="25" max="25" width="2" style="241" customWidth="1"/>
    <col min="26" max="26" width="1.28515625" style="241" customWidth="1"/>
    <col min="27" max="27" width="3.5703125" style="241" customWidth="1"/>
    <col min="28" max="28" width="2.7109375" style="241" customWidth="1"/>
    <col min="29" max="29" width="3.28515625" style="241" customWidth="1"/>
    <col min="30" max="30" width="2" style="241" customWidth="1"/>
    <col min="31" max="32" width="1.85546875" style="241" customWidth="1"/>
    <col min="33" max="33" width="2.7109375" style="241" customWidth="1"/>
    <col min="34" max="34" width="2.140625" style="241" customWidth="1"/>
    <col min="35" max="35" width="1.5703125" style="241" customWidth="1"/>
    <col min="36" max="36" width="11.7109375" style="241" customWidth="1"/>
    <col min="37" max="60" width="2.7109375" style="241" customWidth="1"/>
    <col min="61" max="61" width="1.5703125" style="241" customWidth="1"/>
    <col min="62" max="256" width="2.7109375" style="241"/>
    <col min="257" max="259" width="2.7109375" style="241" customWidth="1"/>
    <col min="260" max="260" width="3.7109375" style="241" customWidth="1"/>
    <col min="261" max="262" width="5" style="241" customWidth="1"/>
    <col min="263" max="263" width="5.5703125" style="241" customWidth="1"/>
    <col min="264" max="264" width="5.140625" style="241" customWidth="1"/>
    <col min="265" max="265" width="4.42578125" style="241" customWidth="1"/>
    <col min="266" max="266" width="2.7109375" style="241" customWidth="1"/>
    <col min="267" max="267" width="2.5703125" style="241" customWidth="1"/>
    <col min="268" max="269" width="2.7109375" style="241" customWidth="1"/>
    <col min="270" max="273" width="3" style="241" customWidth="1"/>
    <col min="274" max="277" width="2.7109375" style="241" customWidth="1"/>
    <col min="278" max="278" width="2.85546875" style="241" customWidth="1"/>
    <col min="279" max="284" width="2.7109375" style="241" customWidth="1"/>
    <col min="285" max="285" width="3.42578125" style="241" customWidth="1"/>
    <col min="286" max="286" width="2.7109375" style="241" customWidth="1"/>
    <col min="287" max="291" width="3.5703125" style="241" customWidth="1"/>
    <col min="292" max="316" width="2.7109375" style="241" customWidth="1"/>
    <col min="317" max="317" width="1.5703125" style="241" customWidth="1"/>
    <col min="318" max="512" width="2.7109375" style="241"/>
    <col min="513" max="515" width="2.7109375" style="241" customWidth="1"/>
    <col min="516" max="516" width="3.7109375" style="241" customWidth="1"/>
    <col min="517" max="518" width="5" style="241" customWidth="1"/>
    <col min="519" max="519" width="5.5703125" style="241" customWidth="1"/>
    <col min="520" max="520" width="5.140625" style="241" customWidth="1"/>
    <col min="521" max="521" width="4.42578125" style="241" customWidth="1"/>
    <col min="522" max="522" width="2.7109375" style="241" customWidth="1"/>
    <col min="523" max="523" width="2.5703125" style="241" customWidth="1"/>
    <col min="524" max="525" width="2.7109375" style="241" customWidth="1"/>
    <col min="526" max="529" width="3" style="241" customWidth="1"/>
    <col min="530" max="533" width="2.7109375" style="241" customWidth="1"/>
    <col min="534" max="534" width="2.85546875" style="241" customWidth="1"/>
    <col min="535" max="540" width="2.7109375" style="241" customWidth="1"/>
    <col min="541" max="541" width="3.42578125" style="241" customWidth="1"/>
    <col min="542" max="542" width="2.7109375" style="241" customWidth="1"/>
    <col min="543" max="547" width="3.5703125" style="241" customWidth="1"/>
    <col min="548" max="572" width="2.7109375" style="241" customWidth="1"/>
    <col min="573" max="573" width="1.5703125" style="241" customWidth="1"/>
    <col min="574" max="768" width="2.7109375" style="241"/>
    <col min="769" max="771" width="2.7109375" style="241" customWidth="1"/>
    <col min="772" max="772" width="3.7109375" style="241" customWidth="1"/>
    <col min="773" max="774" width="5" style="241" customWidth="1"/>
    <col min="775" max="775" width="5.5703125" style="241" customWidth="1"/>
    <col min="776" max="776" width="5.140625" style="241" customWidth="1"/>
    <col min="777" max="777" width="4.42578125" style="241" customWidth="1"/>
    <col min="778" max="778" width="2.7109375" style="241" customWidth="1"/>
    <col min="779" max="779" width="2.5703125" style="241" customWidth="1"/>
    <col min="780" max="781" width="2.7109375" style="241" customWidth="1"/>
    <col min="782" max="785" width="3" style="241" customWidth="1"/>
    <col min="786" max="789" width="2.7109375" style="241" customWidth="1"/>
    <col min="790" max="790" width="2.85546875" style="241" customWidth="1"/>
    <col min="791" max="796" width="2.7109375" style="241" customWidth="1"/>
    <col min="797" max="797" width="3.42578125" style="241" customWidth="1"/>
    <col min="798" max="798" width="2.7109375" style="241" customWidth="1"/>
    <col min="799" max="803" width="3.5703125" style="241" customWidth="1"/>
    <col min="804" max="828" width="2.7109375" style="241" customWidth="1"/>
    <col min="829" max="829" width="1.5703125" style="241" customWidth="1"/>
    <col min="830" max="1024" width="2.7109375" style="241"/>
    <col min="1025" max="1027" width="2.7109375" style="241" customWidth="1"/>
    <col min="1028" max="1028" width="3.7109375" style="241" customWidth="1"/>
    <col min="1029" max="1030" width="5" style="241" customWidth="1"/>
    <col min="1031" max="1031" width="5.5703125" style="241" customWidth="1"/>
    <col min="1032" max="1032" width="5.140625" style="241" customWidth="1"/>
    <col min="1033" max="1033" width="4.42578125" style="241" customWidth="1"/>
    <col min="1034" max="1034" width="2.7109375" style="241" customWidth="1"/>
    <col min="1035" max="1035" width="2.5703125" style="241" customWidth="1"/>
    <col min="1036" max="1037" width="2.7109375" style="241" customWidth="1"/>
    <col min="1038" max="1041" width="3" style="241" customWidth="1"/>
    <col min="1042" max="1045" width="2.7109375" style="241" customWidth="1"/>
    <col min="1046" max="1046" width="2.85546875" style="241" customWidth="1"/>
    <col min="1047" max="1052" width="2.7109375" style="241" customWidth="1"/>
    <col min="1053" max="1053" width="3.42578125" style="241" customWidth="1"/>
    <col min="1054" max="1054" width="2.7109375" style="241" customWidth="1"/>
    <col min="1055" max="1059" width="3.5703125" style="241" customWidth="1"/>
    <col min="1060" max="1084" width="2.7109375" style="241" customWidth="1"/>
    <col min="1085" max="1085" width="1.5703125" style="241" customWidth="1"/>
    <col min="1086" max="1280" width="2.7109375" style="241"/>
    <col min="1281" max="1283" width="2.7109375" style="241" customWidth="1"/>
    <col min="1284" max="1284" width="3.7109375" style="241" customWidth="1"/>
    <col min="1285" max="1286" width="5" style="241" customWidth="1"/>
    <col min="1287" max="1287" width="5.5703125" style="241" customWidth="1"/>
    <col min="1288" max="1288" width="5.140625" style="241" customWidth="1"/>
    <col min="1289" max="1289" width="4.42578125" style="241" customWidth="1"/>
    <col min="1290" max="1290" width="2.7109375" style="241" customWidth="1"/>
    <col min="1291" max="1291" width="2.5703125" style="241" customWidth="1"/>
    <col min="1292" max="1293" width="2.7109375" style="241" customWidth="1"/>
    <col min="1294" max="1297" width="3" style="241" customWidth="1"/>
    <col min="1298" max="1301" width="2.7109375" style="241" customWidth="1"/>
    <col min="1302" max="1302" width="2.85546875" style="241" customWidth="1"/>
    <col min="1303" max="1308" width="2.7109375" style="241" customWidth="1"/>
    <col min="1309" max="1309" width="3.42578125" style="241" customWidth="1"/>
    <col min="1310" max="1310" width="2.7109375" style="241" customWidth="1"/>
    <col min="1311" max="1315" width="3.5703125" style="241" customWidth="1"/>
    <col min="1316" max="1340" width="2.7109375" style="241" customWidth="1"/>
    <col min="1341" max="1341" width="1.5703125" style="241" customWidth="1"/>
    <col min="1342" max="1536" width="2.7109375" style="241"/>
    <col min="1537" max="1539" width="2.7109375" style="241" customWidth="1"/>
    <col min="1540" max="1540" width="3.7109375" style="241" customWidth="1"/>
    <col min="1541" max="1542" width="5" style="241" customWidth="1"/>
    <col min="1543" max="1543" width="5.5703125" style="241" customWidth="1"/>
    <col min="1544" max="1544" width="5.140625" style="241" customWidth="1"/>
    <col min="1545" max="1545" width="4.42578125" style="241" customWidth="1"/>
    <col min="1546" max="1546" width="2.7109375" style="241" customWidth="1"/>
    <col min="1547" max="1547" width="2.5703125" style="241" customWidth="1"/>
    <col min="1548" max="1549" width="2.7109375" style="241" customWidth="1"/>
    <col min="1550" max="1553" width="3" style="241" customWidth="1"/>
    <col min="1554" max="1557" width="2.7109375" style="241" customWidth="1"/>
    <col min="1558" max="1558" width="2.85546875" style="241" customWidth="1"/>
    <col min="1559" max="1564" width="2.7109375" style="241" customWidth="1"/>
    <col min="1565" max="1565" width="3.42578125" style="241" customWidth="1"/>
    <col min="1566" max="1566" width="2.7109375" style="241" customWidth="1"/>
    <col min="1567" max="1571" width="3.5703125" style="241" customWidth="1"/>
    <col min="1572" max="1596" width="2.7109375" style="241" customWidth="1"/>
    <col min="1597" max="1597" width="1.5703125" style="241" customWidth="1"/>
    <col min="1598" max="1792" width="2.7109375" style="241"/>
    <col min="1793" max="1795" width="2.7109375" style="241" customWidth="1"/>
    <col min="1796" max="1796" width="3.7109375" style="241" customWidth="1"/>
    <col min="1797" max="1798" width="5" style="241" customWidth="1"/>
    <col min="1799" max="1799" width="5.5703125" style="241" customWidth="1"/>
    <col min="1800" max="1800" width="5.140625" style="241" customWidth="1"/>
    <col min="1801" max="1801" width="4.42578125" style="241" customWidth="1"/>
    <col min="1802" max="1802" width="2.7109375" style="241" customWidth="1"/>
    <col min="1803" max="1803" width="2.5703125" style="241" customWidth="1"/>
    <col min="1804" max="1805" width="2.7109375" style="241" customWidth="1"/>
    <col min="1806" max="1809" width="3" style="241" customWidth="1"/>
    <col min="1810" max="1813" width="2.7109375" style="241" customWidth="1"/>
    <col min="1814" max="1814" width="2.85546875" style="241" customWidth="1"/>
    <col min="1815" max="1820" width="2.7109375" style="241" customWidth="1"/>
    <col min="1821" max="1821" width="3.42578125" style="241" customWidth="1"/>
    <col min="1822" max="1822" width="2.7109375" style="241" customWidth="1"/>
    <col min="1823" max="1827" width="3.5703125" style="241" customWidth="1"/>
    <col min="1828" max="1852" width="2.7109375" style="241" customWidth="1"/>
    <col min="1853" max="1853" width="1.5703125" style="241" customWidth="1"/>
    <col min="1854" max="2048" width="2.7109375" style="241"/>
    <col min="2049" max="2051" width="2.7109375" style="241" customWidth="1"/>
    <col min="2052" max="2052" width="3.7109375" style="241" customWidth="1"/>
    <col min="2053" max="2054" width="5" style="241" customWidth="1"/>
    <col min="2055" max="2055" width="5.5703125" style="241" customWidth="1"/>
    <col min="2056" max="2056" width="5.140625" style="241" customWidth="1"/>
    <col min="2057" max="2057" width="4.42578125" style="241" customWidth="1"/>
    <col min="2058" max="2058" width="2.7109375" style="241" customWidth="1"/>
    <col min="2059" max="2059" width="2.5703125" style="241" customWidth="1"/>
    <col min="2060" max="2061" width="2.7109375" style="241" customWidth="1"/>
    <col min="2062" max="2065" width="3" style="241" customWidth="1"/>
    <col min="2066" max="2069" width="2.7109375" style="241" customWidth="1"/>
    <col min="2070" max="2070" width="2.85546875" style="241" customWidth="1"/>
    <col min="2071" max="2076" width="2.7109375" style="241" customWidth="1"/>
    <col min="2077" max="2077" width="3.42578125" style="241" customWidth="1"/>
    <col min="2078" max="2078" width="2.7109375" style="241" customWidth="1"/>
    <col min="2079" max="2083" width="3.5703125" style="241" customWidth="1"/>
    <col min="2084" max="2108" width="2.7109375" style="241" customWidth="1"/>
    <col min="2109" max="2109" width="1.5703125" style="241" customWidth="1"/>
    <col min="2110" max="2304" width="2.7109375" style="241"/>
    <col min="2305" max="2307" width="2.7109375" style="241" customWidth="1"/>
    <col min="2308" max="2308" width="3.7109375" style="241" customWidth="1"/>
    <col min="2309" max="2310" width="5" style="241" customWidth="1"/>
    <col min="2311" max="2311" width="5.5703125" style="241" customWidth="1"/>
    <col min="2312" max="2312" width="5.140625" style="241" customWidth="1"/>
    <col min="2313" max="2313" width="4.42578125" style="241" customWidth="1"/>
    <col min="2314" max="2314" width="2.7109375" style="241" customWidth="1"/>
    <col min="2315" max="2315" width="2.5703125" style="241" customWidth="1"/>
    <col min="2316" max="2317" width="2.7109375" style="241" customWidth="1"/>
    <col min="2318" max="2321" width="3" style="241" customWidth="1"/>
    <col min="2322" max="2325" width="2.7109375" style="241" customWidth="1"/>
    <col min="2326" max="2326" width="2.85546875" style="241" customWidth="1"/>
    <col min="2327" max="2332" width="2.7109375" style="241" customWidth="1"/>
    <col min="2333" max="2333" width="3.42578125" style="241" customWidth="1"/>
    <col min="2334" max="2334" width="2.7109375" style="241" customWidth="1"/>
    <col min="2335" max="2339" width="3.5703125" style="241" customWidth="1"/>
    <col min="2340" max="2364" width="2.7109375" style="241" customWidth="1"/>
    <col min="2365" max="2365" width="1.5703125" style="241" customWidth="1"/>
    <col min="2366" max="2560" width="2.7109375" style="241"/>
    <col min="2561" max="2563" width="2.7109375" style="241" customWidth="1"/>
    <col min="2564" max="2564" width="3.7109375" style="241" customWidth="1"/>
    <col min="2565" max="2566" width="5" style="241" customWidth="1"/>
    <col min="2567" max="2567" width="5.5703125" style="241" customWidth="1"/>
    <col min="2568" max="2568" width="5.140625" style="241" customWidth="1"/>
    <col min="2569" max="2569" width="4.42578125" style="241" customWidth="1"/>
    <col min="2570" max="2570" width="2.7109375" style="241" customWidth="1"/>
    <col min="2571" max="2571" width="2.5703125" style="241" customWidth="1"/>
    <col min="2572" max="2573" width="2.7109375" style="241" customWidth="1"/>
    <col min="2574" max="2577" width="3" style="241" customWidth="1"/>
    <col min="2578" max="2581" width="2.7109375" style="241" customWidth="1"/>
    <col min="2582" max="2582" width="2.85546875" style="241" customWidth="1"/>
    <col min="2583" max="2588" width="2.7109375" style="241" customWidth="1"/>
    <col min="2589" max="2589" width="3.42578125" style="241" customWidth="1"/>
    <col min="2590" max="2590" width="2.7109375" style="241" customWidth="1"/>
    <col min="2591" max="2595" width="3.5703125" style="241" customWidth="1"/>
    <col min="2596" max="2620" width="2.7109375" style="241" customWidth="1"/>
    <col min="2621" max="2621" width="1.5703125" style="241" customWidth="1"/>
    <col min="2622" max="2816" width="2.7109375" style="241"/>
    <col min="2817" max="2819" width="2.7109375" style="241" customWidth="1"/>
    <col min="2820" max="2820" width="3.7109375" style="241" customWidth="1"/>
    <col min="2821" max="2822" width="5" style="241" customWidth="1"/>
    <col min="2823" max="2823" width="5.5703125" style="241" customWidth="1"/>
    <col min="2824" max="2824" width="5.140625" style="241" customWidth="1"/>
    <col min="2825" max="2825" width="4.42578125" style="241" customWidth="1"/>
    <col min="2826" max="2826" width="2.7109375" style="241" customWidth="1"/>
    <col min="2827" max="2827" width="2.5703125" style="241" customWidth="1"/>
    <col min="2828" max="2829" width="2.7109375" style="241" customWidth="1"/>
    <col min="2830" max="2833" width="3" style="241" customWidth="1"/>
    <col min="2834" max="2837" width="2.7109375" style="241" customWidth="1"/>
    <col min="2838" max="2838" width="2.85546875" style="241" customWidth="1"/>
    <col min="2839" max="2844" width="2.7109375" style="241" customWidth="1"/>
    <col min="2845" max="2845" width="3.42578125" style="241" customWidth="1"/>
    <col min="2846" max="2846" width="2.7109375" style="241" customWidth="1"/>
    <col min="2847" max="2851" width="3.5703125" style="241" customWidth="1"/>
    <col min="2852" max="2876" width="2.7109375" style="241" customWidth="1"/>
    <col min="2877" max="2877" width="1.5703125" style="241" customWidth="1"/>
    <col min="2878" max="3072" width="2.7109375" style="241"/>
    <col min="3073" max="3075" width="2.7109375" style="241" customWidth="1"/>
    <col min="3076" max="3076" width="3.7109375" style="241" customWidth="1"/>
    <col min="3077" max="3078" width="5" style="241" customWidth="1"/>
    <col min="3079" max="3079" width="5.5703125" style="241" customWidth="1"/>
    <col min="3080" max="3080" width="5.140625" style="241" customWidth="1"/>
    <col min="3081" max="3081" width="4.42578125" style="241" customWidth="1"/>
    <col min="3082" max="3082" width="2.7109375" style="241" customWidth="1"/>
    <col min="3083" max="3083" width="2.5703125" style="241" customWidth="1"/>
    <col min="3084" max="3085" width="2.7109375" style="241" customWidth="1"/>
    <col min="3086" max="3089" width="3" style="241" customWidth="1"/>
    <col min="3090" max="3093" width="2.7109375" style="241" customWidth="1"/>
    <col min="3094" max="3094" width="2.85546875" style="241" customWidth="1"/>
    <col min="3095" max="3100" width="2.7109375" style="241" customWidth="1"/>
    <col min="3101" max="3101" width="3.42578125" style="241" customWidth="1"/>
    <col min="3102" max="3102" width="2.7109375" style="241" customWidth="1"/>
    <col min="3103" max="3107" width="3.5703125" style="241" customWidth="1"/>
    <col min="3108" max="3132" width="2.7109375" style="241" customWidth="1"/>
    <col min="3133" max="3133" width="1.5703125" style="241" customWidth="1"/>
    <col min="3134" max="3328" width="2.7109375" style="241"/>
    <col min="3329" max="3331" width="2.7109375" style="241" customWidth="1"/>
    <col min="3332" max="3332" width="3.7109375" style="241" customWidth="1"/>
    <col min="3333" max="3334" width="5" style="241" customWidth="1"/>
    <col min="3335" max="3335" width="5.5703125" style="241" customWidth="1"/>
    <col min="3336" max="3336" width="5.140625" style="241" customWidth="1"/>
    <col min="3337" max="3337" width="4.42578125" style="241" customWidth="1"/>
    <col min="3338" max="3338" width="2.7109375" style="241" customWidth="1"/>
    <col min="3339" max="3339" width="2.5703125" style="241" customWidth="1"/>
    <col min="3340" max="3341" width="2.7109375" style="241" customWidth="1"/>
    <col min="3342" max="3345" width="3" style="241" customWidth="1"/>
    <col min="3346" max="3349" width="2.7109375" style="241" customWidth="1"/>
    <col min="3350" max="3350" width="2.85546875" style="241" customWidth="1"/>
    <col min="3351" max="3356" width="2.7109375" style="241" customWidth="1"/>
    <col min="3357" max="3357" width="3.42578125" style="241" customWidth="1"/>
    <col min="3358" max="3358" width="2.7109375" style="241" customWidth="1"/>
    <col min="3359" max="3363" width="3.5703125" style="241" customWidth="1"/>
    <col min="3364" max="3388" width="2.7109375" style="241" customWidth="1"/>
    <col min="3389" max="3389" width="1.5703125" style="241" customWidth="1"/>
    <col min="3390" max="3584" width="2.7109375" style="241"/>
    <col min="3585" max="3587" width="2.7109375" style="241" customWidth="1"/>
    <col min="3588" max="3588" width="3.7109375" style="241" customWidth="1"/>
    <col min="3589" max="3590" width="5" style="241" customWidth="1"/>
    <col min="3591" max="3591" width="5.5703125" style="241" customWidth="1"/>
    <col min="3592" max="3592" width="5.140625" style="241" customWidth="1"/>
    <col min="3593" max="3593" width="4.42578125" style="241" customWidth="1"/>
    <col min="3594" max="3594" width="2.7109375" style="241" customWidth="1"/>
    <col min="3595" max="3595" width="2.5703125" style="241" customWidth="1"/>
    <col min="3596" max="3597" width="2.7109375" style="241" customWidth="1"/>
    <col min="3598" max="3601" width="3" style="241" customWidth="1"/>
    <col min="3602" max="3605" width="2.7109375" style="241" customWidth="1"/>
    <col min="3606" max="3606" width="2.85546875" style="241" customWidth="1"/>
    <col min="3607" max="3612" width="2.7109375" style="241" customWidth="1"/>
    <col min="3613" max="3613" width="3.42578125" style="241" customWidth="1"/>
    <col min="3614" max="3614" width="2.7109375" style="241" customWidth="1"/>
    <col min="3615" max="3619" width="3.5703125" style="241" customWidth="1"/>
    <col min="3620" max="3644" width="2.7109375" style="241" customWidth="1"/>
    <col min="3645" max="3645" width="1.5703125" style="241" customWidth="1"/>
    <col min="3646" max="3840" width="2.7109375" style="241"/>
    <col min="3841" max="3843" width="2.7109375" style="241" customWidth="1"/>
    <col min="3844" max="3844" width="3.7109375" style="241" customWidth="1"/>
    <col min="3845" max="3846" width="5" style="241" customWidth="1"/>
    <col min="3847" max="3847" width="5.5703125" style="241" customWidth="1"/>
    <col min="3848" max="3848" width="5.140625" style="241" customWidth="1"/>
    <col min="3849" max="3849" width="4.42578125" style="241" customWidth="1"/>
    <col min="3850" max="3850" width="2.7109375" style="241" customWidth="1"/>
    <col min="3851" max="3851" width="2.5703125" style="241" customWidth="1"/>
    <col min="3852" max="3853" width="2.7109375" style="241" customWidth="1"/>
    <col min="3854" max="3857" width="3" style="241" customWidth="1"/>
    <col min="3858" max="3861" width="2.7109375" style="241" customWidth="1"/>
    <col min="3862" max="3862" width="2.85546875" style="241" customWidth="1"/>
    <col min="3863" max="3868" width="2.7109375" style="241" customWidth="1"/>
    <col min="3869" max="3869" width="3.42578125" style="241" customWidth="1"/>
    <col min="3870" max="3870" width="2.7109375" style="241" customWidth="1"/>
    <col min="3871" max="3875" width="3.5703125" style="241" customWidth="1"/>
    <col min="3876" max="3900" width="2.7109375" style="241" customWidth="1"/>
    <col min="3901" max="3901" width="1.5703125" style="241" customWidth="1"/>
    <col min="3902" max="4096" width="2.7109375" style="241"/>
    <col min="4097" max="4099" width="2.7109375" style="241" customWidth="1"/>
    <col min="4100" max="4100" width="3.7109375" style="241" customWidth="1"/>
    <col min="4101" max="4102" width="5" style="241" customWidth="1"/>
    <col min="4103" max="4103" width="5.5703125" style="241" customWidth="1"/>
    <col min="4104" max="4104" width="5.140625" style="241" customWidth="1"/>
    <col min="4105" max="4105" width="4.42578125" style="241" customWidth="1"/>
    <col min="4106" max="4106" width="2.7109375" style="241" customWidth="1"/>
    <col min="4107" max="4107" width="2.5703125" style="241" customWidth="1"/>
    <col min="4108" max="4109" width="2.7109375" style="241" customWidth="1"/>
    <col min="4110" max="4113" width="3" style="241" customWidth="1"/>
    <col min="4114" max="4117" width="2.7109375" style="241" customWidth="1"/>
    <col min="4118" max="4118" width="2.85546875" style="241" customWidth="1"/>
    <col min="4119" max="4124" width="2.7109375" style="241" customWidth="1"/>
    <col min="4125" max="4125" width="3.42578125" style="241" customWidth="1"/>
    <col min="4126" max="4126" width="2.7109375" style="241" customWidth="1"/>
    <col min="4127" max="4131" width="3.5703125" style="241" customWidth="1"/>
    <col min="4132" max="4156" width="2.7109375" style="241" customWidth="1"/>
    <col min="4157" max="4157" width="1.5703125" style="241" customWidth="1"/>
    <col min="4158" max="4352" width="2.7109375" style="241"/>
    <col min="4353" max="4355" width="2.7109375" style="241" customWidth="1"/>
    <col min="4356" max="4356" width="3.7109375" style="241" customWidth="1"/>
    <col min="4357" max="4358" width="5" style="241" customWidth="1"/>
    <col min="4359" max="4359" width="5.5703125" style="241" customWidth="1"/>
    <col min="4360" max="4360" width="5.140625" style="241" customWidth="1"/>
    <col min="4361" max="4361" width="4.42578125" style="241" customWidth="1"/>
    <col min="4362" max="4362" width="2.7109375" style="241" customWidth="1"/>
    <col min="4363" max="4363" width="2.5703125" style="241" customWidth="1"/>
    <col min="4364" max="4365" width="2.7109375" style="241" customWidth="1"/>
    <col min="4366" max="4369" width="3" style="241" customWidth="1"/>
    <col min="4370" max="4373" width="2.7109375" style="241" customWidth="1"/>
    <col min="4374" max="4374" width="2.85546875" style="241" customWidth="1"/>
    <col min="4375" max="4380" width="2.7109375" style="241" customWidth="1"/>
    <col min="4381" max="4381" width="3.42578125" style="241" customWidth="1"/>
    <col min="4382" max="4382" width="2.7109375" style="241" customWidth="1"/>
    <col min="4383" max="4387" width="3.5703125" style="241" customWidth="1"/>
    <col min="4388" max="4412" width="2.7109375" style="241" customWidth="1"/>
    <col min="4413" max="4413" width="1.5703125" style="241" customWidth="1"/>
    <col min="4414" max="4608" width="2.7109375" style="241"/>
    <col min="4609" max="4611" width="2.7109375" style="241" customWidth="1"/>
    <col min="4612" max="4612" width="3.7109375" style="241" customWidth="1"/>
    <col min="4613" max="4614" width="5" style="241" customWidth="1"/>
    <col min="4615" max="4615" width="5.5703125" style="241" customWidth="1"/>
    <col min="4616" max="4616" width="5.140625" style="241" customWidth="1"/>
    <col min="4617" max="4617" width="4.42578125" style="241" customWidth="1"/>
    <col min="4618" max="4618" width="2.7109375" style="241" customWidth="1"/>
    <col min="4619" max="4619" width="2.5703125" style="241" customWidth="1"/>
    <col min="4620" max="4621" width="2.7109375" style="241" customWidth="1"/>
    <col min="4622" max="4625" width="3" style="241" customWidth="1"/>
    <col min="4626" max="4629" width="2.7109375" style="241" customWidth="1"/>
    <col min="4630" max="4630" width="2.85546875" style="241" customWidth="1"/>
    <col min="4631" max="4636" width="2.7109375" style="241" customWidth="1"/>
    <col min="4637" max="4637" width="3.42578125" style="241" customWidth="1"/>
    <col min="4638" max="4638" width="2.7109375" style="241" customWidth="1"/>
    <col min="4639" max="4643" width="3.5703125" style="241" customWidth="1"/>
    <col min="4644" max="4668" width="2.7109375" style="241" customWidth="1"/>
    <col min="4669" max="4669" width="1.5703125" style="241" customWidth="1"/>
    <col min="4670" max="4864" width="2.7109375" style="241"/>
    <col min="4865" max="4867" width="2.7109375" style="241" customWidth="1"/>
    <col min="4868" max="4868" width="3.7109375" style="241" customWidth="1"/>
    <col min="4869" max="4870" width="5" style="241" customWidth="1"/>
    <col min="4871" max="4871" width="5.5703125" style="241" customWidth="1"/>
    <col min="4872" max="4872" width="5.140625" style="241" customWidth="1"/>
    <col min="4873" max="4873" width="4.42578125" style="241" customWidth="1"/>
    <col min="4874" max="4874" width="2.7109375" style="241" customWidth="1"/>
    <col min="4875" max="4875" width="2.5703125" style="241" customWidth="1"/>
    <col min="4876" max="4877" width="2.7109375" style="241" customWidth="1"/>
    <col min="4878" max="4881" width="3" style="241" customWidth="1"/>
    <col min="4882" max="4885" width="2.7109375" style="241" customWidth="1"/>
    <col min="4886" max="4886" width="2.85546875" style="241" customWidth="1"/>
    <col min="4887" max="4892" width="2.7109375" style="241" customWidth="1"/>
    <col min="4893" max="4893" width="3.42578125" style="241" customWidth="1"/>
    <col min="4894" max="4894" width="2.7109375" style="241" customWidth="1"/>
    <col min="4895" max="4899" width="3.5703125" style="241" customWidth="1"/>
    <col min="4900" max="4924" width="2.7109375" style="241" customWidth="1"/>
    <col min="4925" max="4925" width="1.5703125" style="241" customWidth="1"/>
    <col min="4926" max="5120" width="2.7109375" style="241"/>
    <col min="5121" max="5123" width="2.7109375" style="241" customWidth="1"/>
    <col min="5124" max="5124" width="3.7109375" style="241" customWidth="1"/>
    <col min="5125" max="5126" width="5" style="241" customWidth="1"/>
    <col min="5127" max="5127" width="5.5703125" style="241" customWidth="1"/>
    <col min="5128" max="5128" width="5.140625" style="241" customWidth="1"/>
    <col min="5129" max="5129" width="4.42578125" style="241" customWidth="1"/>
    <col min="5130" max="5130" width="2.7109375" style="241" customWidth="1"/>
    <col min="5131" max="5131" width="2.5703125" style="241" customWidth="1"/>
    <col min="5132" max="5133" width="2.7109375" style="241" customWidth="1"/>
    <col min="5134" max="5137" width="3" style="241" customWidth="1"/>
    <col min="5138" max="5141" width="2.7109375" style="241" customWidth="1"/>
    <col min="5142" max="5142" width="2.85546875" style="241" customWidth="1"/>
    <col min="5143" max="5148" width="2.7109375" style="241" customWidth="1"/>
    <col min="5149" max="5149" width="3.42578125" style="241" customWidth="1"/>
    <col min="5150" max="5150" width="2.7109375" style="241" customWidth="1"/>
    <col min="5151" max="5155" width="3.5703125" style="241" customWidth="1"/>
    <col min="5156" max="5180" width="2.7109375" style="241" customWidth="1"/>
    <col min="5181" max="5181" width="1.5703125" style="241" customWidth="1"/>
    <col min="5182" max="5376" width="2.7109375" style="241"/>
    <col min="5377" max="5379" width="2.7109375" style="241" customWidth="1"/>
    <col min="5380" max="5380" width="3.7109375" style="241" customWidth="1"/>
    <col min="5381" max="5382" width="5" style="241" customWidth="1"/>
    <col min="5383" max="5383" width="5.5703125" style="241" customWidth="1"/>
    <col min="5384" max="5384" width="5.140625" style="241" customWidth="1"/>
    <col min="5385" max="5385" width="4.42578125" style="241" customWidth="1"/>
    <col min="5386" max="5386" width="2.7109375" style="241" customWidth="1"/>
    <col min="5387" max="5387" width="2.5703125" style="241" customWidth="1"/>
    <col min="5388" max="5389" width="2.7109375" style="241" customWidth="1"/>
    <col min="5390" max="5393" width="3" style="241" customWidth="1"/>
    <col min="5394" max="5397" width="2.7109375" style="241" customWidth="1"/>
    <col min="5398" max="5398" width="2.85546875" style="241" customWidth="1"/>
    <col min="5399" max="5404" width="2.7109375" style="241" customWidth="1"/>
    <col min="5405" max="5405" width="3.42578125" style="241" customWidth="1"/>
    <col min="5406" max="5406" width="2.7109375" style="241" customWidth="1"/>
    <col min="5407" max="5411" width="3.5703125" style="241" customWidth="1"/>
    <col min="5412" max="5436" width="2.7109375" style="241" customWidth="1"/>
    <col min="5437" max="5437" width="1.5703125" style="241" customWidth="1"/>
    <col min="5438" max="5632" width="2.7109375" style="241"/>
    <col min="5633" max="5635" width="2.7109375" style="241" customWidth="1"/>
    <col min="5636" max="5636" width="3.7109375" style="241" customWidth="1"/>
    <col min="5637" max="5638" width="5" style="241" customWidth="1"/>
    <col min="5639" max="5639" width="5.5703125" style="241" customWidth="1"/>
    <col min="5640" max="5640" width="5.140625" style="241" customWidth="1"/>
    <col min="5641" max="5641" width="4.42578125" style="241" customWidth="1"/>
    <col min="5642" max="5642" width="2.7109375" style="241" customWidth="1"/>
    <col min="5643" max="5643" width="2.5703125" style="241" customWidth="1"/>
    <col min="5644" max="5645" width="2.7109375" style="241" customWidth="1"/>
    <col min="5646" max="5649" width="3" style="241" customWidth="1"/>
    <col min="5650" max="5653" width="2.7109375" style="241" customWidth="1"/>
    <col min="5654" max="5654" width="2.85546875" style="241" customWidth="1"/>
    <col min="5655" max="5660" width="2.7109375" style="241" customWidth="1"/>
    <col min="5661" max="5661" width="3.42578125" style="241" customWidth="1"/>
    <col min="5662" max="5662" width="2.7109375" style="241" customWidth="1"/>
    <col min="5663" max="5667" width="3.5703125" style="241" customWidth="1"/>
    <col min="5668" max="5692" width="2.7109375" style="241" customWidth="1"/>
    <col min="5693" max="5693" width="1.5703125" style="241" customWidth="1"/>
    <col min="5694" max="5888" width="2.7109375" style="241"/>
    <col min="5889" max="5891" width="2.7109375" style="241" customWidth="1"/>
    <col min="5892" max="5892" width="3.7109375" style="241" customWidth="1"/>
    <col min="5893" max="5894" width="5" style="241" customWidth="1"/>
    <col min="5895" max="5895" width="5.5703125" style="241" customWidth="1"/>
    <col min="5896" max="5896" width="5.140625" style="241" customWidth="1"/>
    <col min="5897" max="5897" width="4.42578125" style="241" customWidth="1"/>
    <col min="5898" max="5898" width="2.7109375" style="241" customWidth="1"/>
    <col min="5899" max="5899" width="2.5703125" style="241" customWidth="1"/>
    <col min="5900" max="5901" width="2.7109375" style="241" customWidth="1"/>
    <col min="5902" max="5905" width="3" style="241" customWidth="1"/>
    <col min="5906" max="5909" width="2.7109375" style="241" customWidth="1"/>
    <col min="5910" max="5910" width="2.85546875" style="241" customWidth="1"/>
    <col min="5911" max="5916" width="2.7109375" style="241" customWidth="1"/>
    <col min="5917" max="5917" width="3.42578125" style="241" customWidth="1"/>
    <col min="5918" max="5918" width="2.7109375" style="241" customWidth="1"/>
    <col min="5919" max="5923" width="3.5703125" style="241" customWidth="1"/>
    <col min="5924" max="5948" width="2.7109375" style="241" customWidth="1"/>
    <col min="5949" max="5949" width="1.5703125" style="241" customWidth="1"/>
    <col min="5950" max="6144" width="2.7109375" style="241"/>
    <col min="6145" max="6147" width="2.7109375" style="241" customWidth="1"/>
    <col min="6148" max="6148" width="3.7109375" style="241" customWidth="1"/>
    <col min="6149" max="6150" width="5" style="241" customWidth="1"/>
    <col min="6151" max="6151" width="5.5703125" style="241" customWidth="1"/>
    <col min="6152" max="6152" width="5.140625" style="241" customWidth="1"/>
    <col min="6153" max="6153" width="4.42578125" style="241" customWidth="1"/>
    <col min="6154" max="6154" width="2.7109375" style="241" customWidth="1"/>
    <col min="6155" max="6155" width="2.5703125" style="241" customWidth="1"/>
    <col min="6156" max="6157" width="2.7109375" style="241" customWidth="1"/>
    <col min="6158" max="6161" width="3" style="241" customWidth="1"/>
    <col min="6162" max="6165" width="2.7109375" style="241" customWidth="1"/>
    <col min="6166" max="6166" width="2.85546875" style="241" customWidth="1"/>
    <col min="6167" max="6172" width="2.7109375" style="241" customWidth="1"/>
    <col min="6173" max="6173" width="3.42578125" style="241" customWidth="1"/>
    <col min="6174" max="6174" width="2.7109375" style="241" customWidth="1"/>
    <col min="6175" max="6179" width="3.5703125" style="241" customWidth="1"/>
    <col min="6180" max="6204" width="2.7109375" style="241" customWidth="1"/>
    <col min="6205" max="6205" width="1.5703125" style="241" customWidth="1"/>
    <col min="6206" max="6400" width="2.7109375" style="241"/>
    <col min="6401" max="6403" width="2.7109375" style="241" customWidth="1"/>
    <col min="6404" max="6404" width="3.7109375" style="241" customWidth="1"/>
    <col min="6405" max="6406" width="5" style="241" customWidth="1"/>
    <col min="6407" max="6407" width="5.5703125" style="241" customWidth="1"/>
    <col min="6408" max="6408" width="5.140625" style="241" customWidth="1"/>
    <col min="6409" max="6409" width="4.42578125" style="241" customWidth="1"/>
    <col min="6410" max="6410" width="2.7109375" style="241" customWidth="1"/>
    <col min="6411" max="6411" width="2.5703125" style="241" customWidth="1"/>
    <col min="6412" max="6413" width="2.7109375" style="241" customWidth="1"/>
    <col min="6414" max="6417" width="3" style="241" customWidth="1"/>
    <col min="6418" max="6421" width="2.7109375" style="241" customWidth="1"/>
    <col min="6422" max="6422" width="2.85546875" style="241" customWidth="1"/>
    <col min="6423" max="6428" width="2.7109375" style="241" customWidth="1"/>
    <col min="6429" max="6429" width="3.42578125" style="241" customWidth="1"/>
    <col min="6430" max="6430" width="2.7109375" style="241" customWidth="1"/>
    <col min="6431" max="6435" width="3.5703125" style="241" customWidth="1"/>
    <col min="6436" max="6460" width="2.7109375" style="241" customWidth="1"/>
    <col min="6461" max="6461" width="1.5703125" style="241" customWidth="1"/>
    <col min="6462" max="6656" width="2.7109375" style="241"/>
    <col min="6657" max="6659" width="2.7109375" style="241" customWidth="1"/>
    <col min="6660" max="6660" width="3.7109375" style="241" customWidth="1"/>
    <col min="6661" max="6662" width="5" style="241" customWidth="1"/>
    <col min="6663" max="6663" width="5.5703125" style="241" customWidth="1"/>
    <col min="6664" max="6664" width="5.140625" style="241" customWidth="1"/>
    <col min="6665" max="6665" width="4.42578125" style="241" customWidth="1"/>
    <col min="6666" max="6666" width="2.7109375" style="241" customWidth="1"/>
    <col min="6667" max="6667" width="2.5703125" style="241" customWidth="1"/>
    <col min="6668" max="6669" width="2.7109375" style="241" customWidth="1"/>
    <col min="6670" max="6673" width="3" style="241" customWidth="1"/>
    <col min="6674" max="6677" width="2.7109375" style="241" customWidth="1"/>
    <col min="6678" max="6678" width="2.85546875" style="241" customWidth="1"/>
    <col min="6679" max="6684" width="2.7109375" style="241" customWidth="1"/>
    <col min="6685" max="6685" width="3.42578125" style="241" customWidth="1"/>
    <col min="6686" max="6686" width="2.7109375" style="241" customWidth="1"/>
    <col min="6687" max="6691" width="3.5703125" style="241" customWidth="1"/>
    <col min="6692" max="6716" width="2.7109375" style="241" customWidth="1"/>
    <col min="6717" max="6717" width="1.5703125" style="241" customWidth="1"/>
    <col min="6718" max="6912" width="2.7109375" style="241"/>
    <col min="6913" max="6915" width="2.7109375" style="241" customWidth="1"/>
    <col min="6916" max="6916" width="3.7109375" style="241" customWidth="1"/>
    <col min="6917" max="6918" width="5" style="241" customWidth="1"/>
    <col min="6919" max="6919" width="5.5703125" style="241" customWidth="1"/>
    <col min="6920" max="6920" width="5.140625" style="241" customWidth="1"/>
    <col min="6921" max="6921" width="4.42578125" style="241" customWidth="1"/>
    <col min="6922" max="6922" width="2.7109375" style="241" customWidth="1"/>
    <col min="6923" max="6923" width="2.5703125" style="241" customWidth="1"/>
    <col min="6924" max="6925" width="2.7109375" style="241" customWidth="1"/>
    <col min="6926" max="6929" width="3" style="241" customWidth="1"/>
    <col min="6930" max="6933" width="2.7109375" style="241" customWidth="1"/>
    <col min="6934" max="6934" width="2.85546875" style="241" customWidth="1"/>
    <col min="6935" max="6940" width="2.7109375" style="241" customWidth="1"/>
    <col min="6941" max="6941" width="3.42578125" style="241" customWidth="1"/>
    <col min="6942" max="6942" width="2.7109375" style="241" customWidth="1"/>
    <col min="6943" max="6947" width="3.5703125" style="241" customWidth="1"/>
    <col min="6948" max="6972" width="2.7109375" style="241" customWidth="1"/>
    <col min="6973" max="6973" width="1.5703125" style="241" customWidth="1"/>
    <col min="6974" max="7168" width="2.7109375" style="241"/>
    <col min="7169" max="7171" width="2.7109375" style="241" customWidth="1"/>
    <col min="7172" max="7172" width="3.7109375" style="241" customWidth="1"/>
    <col min="7173" max="7174" width="5" style="241" customWidth="1"/>
    <col min="7175" max="7175" width="5.5703125" style="241" customWidth="1"/>
    <col min="7176" max="7176" width="5.140625" style="241" customWidth="1"/>
    <col min="7177" max="7177" width="4.42578125" style="241" customWidth="1"/>
    <col min="7178" max="7178" width="2.7109375" style="241" customWidth="1"/>
    <col min="7179" max="7179" width="2.5703125" style="241" customWidth="1"/>
    <col min="7180" max="7181" width="2.7109375" style="241" customWidth="1"/>
    <col min="7182" max="7185" width="3" style="241" customWidth="1"/>
    <col min="7186" max="7189" width="2.7109375" style="241" customWidth="1"/>
    <col min="7190" max="7190" width="2.85546875" style="241" customWidth="1"/>
    <col min="7191" max="7196" width="2.7109375" style="241" customWidth="1"/>
    <col min="7197" max="7197" width="3.42578125" style="241" customWidth="1"/>
    <col min="7198" max="7198" width="2.7109375" style="241" customWidth="1"/>
    <col min="7199" max="7203" width="3.5703125" style="241" customWidth="1"/>
    <col min="7204" max="7228" width="2.7109375" style="241" customWidth="1"/>
    <col min="7229" max="7229" width="1.5703125" style="241" customWidth="1"/>
    <col min="7230" max="7424" width="2.7109375" style="241"/>
    <col min="7425" max="7427" width="2.7109375" style="241" customWidth="1"/>
    <col min="7428" max="7428" width="3.7109375" style="241" customWidth="1"/>
    <col min="7429" max="7430" width="5" style="241" customWidth="1"/>
    <col min="7431" max="7431" width="5.5703125" style="241" customWidth="1"/>
    <col min="7432" max="7432" width="5.140625" style="241" customWidth="1"/>
    <col min="7433" max="7433" width="4.42578125" style="241" customWidth="1"/>
    <col min="7434" max="7434" width="2.7109375" style="241" customWidth="1"/>
    <col min="7435" max="7435" width="2.5703125" style="241" customWidth="1"/>
    <col min="7436" max="7437" width="2.7109375" style="241" customWidth="1"/>
    <col min="7438" max="7441" width="3" style="241" customWidth="1"/>
    <col min="7442" max="7445" width="2.7109375" style="241" customWidth="1"/>
    <col min="7446" max="7446" width="2.85546875" style="241" customWidth="1"/>
    <col min="7447" max="7452" width="2.7109375" style="241" customWidth="1"/>
    <col min="7453" max="7453" width="3.42578125" style="241" customWidth="1"/>
    <col min="7454" max="7454" width="2.7109375" style="241" customWidth="1"/>
    <col min="7455" max="7459" width="3.5703125" style="241" customWidth="1"/>
    <col min="7460" max="7484" width="2.7109375" style="241" customWidth="1"/>
    <col min="7485" max="7485" width="1.5703125" style="241" customWidth="1"/>
    <col min="7486" max="7680" width="2.7109375" style="241"/>
    <col min="7681" max="7683" width="2.7109375" style="241" customWidth="1"/>
    <col min="7684" max="7684" width="3.7109375" style="241" customWidth="1"/>
    <col min="7685" max="7686" width="5" style="241" customWidth="1"/>
    <col min="7687" max="7687" width="5.5703125" style="241" customWidth="1"/>
    <col min="7688" max="7688" width="5.140625" style="241" customWidth="1"/>
    <col min="7689" max="7689" width="4.42578125" style="241" customWidth="1"/>
    <col min="7690" max="7690" width="2.7109375" style="241" customWidth="1"/>
    <col min="7691" max="7691" width="2.5703125" style="241" customWidth="1"/>
    <col min="7692" max="7693" width="2.7109375" style="241" customWidth="1"/>
    <col min="7694" max="7697" width="3" style="241" customWidth="1"/>
    <col min="7698" max="7701" width="2.7109375" style="241" customWidth="1"/>
    <col min="7702" max="7702" width="2.85546875" style="241" customWidth="1"/>
    <col min="7703" max="7708" width="2.7109375" style="241" customWidth="1"/>
    <col min="7709" max="7709" width="3.42578125" style="241" customWidth="1"/>
    <col min="7710" max="7710" width="2.7109375" style="241" customWidth="1"/>
    <col min="7711" max="7715" width="3.5703125" style="241" customWidth="1"/>
    <col min="7716" max="7740" width="2.7109375" style="241" customWidth="1"/>
    <col min="7741" max="7741" width="1.5703125" style="241" customWidth="1"/>
    <col min="7742" max="7936" width="2.7109375" style="241"/>
    <col min="7937" max="7939" width="2.7109375" style="241" customWidth="1"/>
    <col min="7940" max="7940" width="3.7109375" style="241" customWidth="1"/>
    <col min="7941" max="7942" width="5" style="241" customWidth="1"/>
    <col min="7943" max="7943" width="5.5703125" style="241" customWidth="1"/>
    <col min="7944" max="7944" width="5.140625" style="241" customWidth="1"/>
    <col min="7945" max="7945" width="4.42578125" style="241" customWidth="1"/>
    <col min="7946" max="7946" width="2.7109375" style="241" customWidth="1"/>
    <col min="7947" max="7947" width="2.5703125" style="241" customWidth="1"/>
    <col min="7948" max="7949" width="2.7109375" style="241" customWidth="1"/>
    <col min="7950" max="7953" width="3" style="241" customWidth="1"/>
    <col min="7954" max="7957" width="2.7109375" style="241" customWidth="1"/>
    <col min="7958" max="7958" width="2.85546875" style="241" customWidth="1"/>
    <col min="7959" max="7964" width="2.7109375" style="241" customWidth="1"/>
    <col min="7965" max="7965" width="3.42578125" style="241" customWidth="1"/>
    <col min="7966" max="7966" width="2.7109375" style="241" customWidth="1"/>
    <col min="7967" max="7971" width="3.5703125" style="241" customWidth="1"/>
    <col min="7972" max="7996" width="2.7109375" style="241" customWidth="1"/>
    <col min="7997" max="7997" width="1.5703125" style="241" customWidth="1"/>
    <col min="7998" max="8192" width="2.7109375" style="241"/>
    <col min="8193" max="8195" width="2.7109375" style="241" customWidth="1"/>
    <col min="8196" max="8196" width="3.7109375" style="241" customWidth="1"/>
    <col min="8197" max="8198" width="5" style="241" customWidth="1"/>
    <col min="8199" max="8199" width="5.5703125" style="241" customWidth="1"/>
    <col min="8200" max="8200" width="5.140625" style="241" customWidth="1"/>
    <col min="8201" max="8201" width="4.42578125" style="241" customWidth="1"/>
    <col min="8202" max="8202" width="2.7109375" style="241" customWidth="1"/>
    <col min="8203" max="8203" width="2.5703125" style="241" customWidth="1"/>
    <col min="8204" max="8205" width="2.7109375" style="241" customWidth="1"/>
    <col min="8206" max="8209" width="3" style="241" customWidth="1"/>
    <col min="8210" max="8213" width="2.7109375" style="241" customWidth="1"/>
    <col min="8214" max="8214" width="2.85546875" style="241" customWidth="1"/>
    <col min="8215" max="8220" width="2.7109375" style="241" customWidth="1"/>
    <col min="8221" max="8221" width="3.42578125" style="241" customWidth="1"/>
    <col min="8222" max="8222" width="2.7109375" style="241" customWidth="1"/>
    <col min="8223" max="8227" width="3.5703125" style="241" customWidth="1"/>
    <col min="8228" max="8252" width="2.7109375" style="241" customWidth="1"/>
    <col min="8253" max="8253" width="1.5703125" style="241" customWidth="1"/>
    <col min="8254" max="8448" width="2.7109375" style="241"/>
    <col min="8449" max="8451" width="2.7109375" style="241" customWidth="1"/>
    <col min="8452" max="8452" width="3.7109375" style="241" customWidth="1"/>
    <col min="8453" max="8454" width="5" style="241" customWidth="1"/>
    <col min="8455" max="8455" width="5.5703125" style="241" customWidth="1"/>
    <col min="8456" max="8456" width="5.140625" style="241" customWidth="1"/>
    <col min="8457" max="8457" width="4.42578125" style="241" customWidth="1"/>
    <col min="8458" max="8458" width="2.7109375" style="241" customWidth="1"/>
    <col min="8459" max="8459" width="2.5703125" style="241" customWidth="1"/>
    <col min="8460" max="8461" width="2.7109375" style="241" customWidth="1"/>
    <col min="8462" max="8465" width="3" style="241" customWidth="1"/>
    <col min="8466" max="8469" width="2.7109375" style="241" customWidth="1"/>
    <col min="8470" max="8470" width="2.85546875" style="241" customWidth="1"/>
    <col min="8471" max="8476" width="2.7109375" style="241" customWidth="1"/>
    <col min="8477" max="8477" width="3.42578125" style="241" customWidth="1"/>
    <col min="8478" max="8478" width="2.7109375" style="241" customWidth="1"/>
    <col min="8479" max="8483" width="3.5703125" style="241" customWidth="1"/>
    <col min="8484" max="8508" width="2.7109375" style="241" customWidth="1"/>
    <col min="8509" max="8509" width="1.5703125" style="241" customWidth="1"/>
    <col min="8510" max="8704" width="2.7109375" style="241"/>
    <col min="8705" max="8707" width="2.7109375" style="241" customWidth="1"/>
    <col min="8708" max="8708" width="3.7109375" style="241" customWidth="1"/>
    <col min="8709" max="8710" width="5" style="241" customWidth="1"/>
    <col min="8711" max="8711" width="5.5703125" style="241" customWidth="1"/>
    <col min="8712" max="8712" width="5.140625" style="241" customWidth="1"/>
    <col min="8713" max="8713" width="4.42578125" style="241" customWidth="1"/>
    <col min="8714" max="8714" width="2.7109375" style="241" customWidth="1"/>
    <col min="8715" max="8715" width="2.5703125" style="241" customWidth="1"/>
    <col min="8716" max="8717" width="2.7109375" style="241" customWidth="1"/>
    <col min="8718" max="8721" width="3" style="241" customWidth="1"/>
    <col min="8722" max="8725" width="2.7109375" style="241" customWidth="1"/>
    <col min="8726" max="8726" width="2.85546875" style="241" customWidth="1"/>
    <col min="8727" max="8732" width="2.7109375" style="241" customWidth="1"/>
    <col min="8733" max="8733" width="3.42578125" style="241" customWidth="1"/>
    <col min="8734" max="8734" width="2.7109375" style="241" customWidth="1"/>
    <col min="8735" max="8739" width="3.5703125" style="241" customWidth="1"/>
    <col min="8740" max="8764" width="2.7109375" style="241" customWidth="1"/>
    <col min="8765" max="8765" width="1.5703125" style="241" customWidth="1"/>
    <col min="8766" max="8960" width="2.7109375" style="241"/>
    <col min="8961" max="8963" width="2.7109375" style="241" customWidth="1"/>
    <col min="8964" max="8964" width="3.7109375" style="241" customWidth="1"/>
    <col min="8965" max="8966" width="5" style="241" customWidth="1"/>
    <col min="8967" max="8967" width="5.5703125" style="241" customWidth="1"/>
    <col min="8968" max="8968" width="5.140625" style="241" customWidth="1"/>
    <col min="8969" max="8969" width="4.42578125" style="241" customWidth="1"/>
    <col min="8970" max="8970" width="2.7109375" style="241" customWidth="1"/>
    <col min="8971" max="8971" width="2.5703125" style="241" customWidth="1"/>
    <col min="8972" max="8973" width="2.7109375" style="241" customWidth="1"/>
    <col min="8974" max="8977" width="3" style="241" customWidth="1"/>
    <col min="8978" max="8981" width="2.7109375" style="241" customWidth="1"/>
    <col min="8982" max="8982" width="2.85546875" style="241" customWidth="1"/>
    <col min="8983" max="8988" width="2.7109375" style="241" customWidth="1"/>
    <col min="8989" max="8989" width="3.42578125" style="241" customWidth="1"/>
    <col min="8990" max="8990" width="2.7109375" style="241" customWidth="1"/>
    <col min="8991" max="8995" width="3.5703125" style="241" customWidth="1"/>
    <col min="8996" max="9020" width="2.7109375" style="241" customWidth="1"/>
    <col min="9021" max="9021" width="1.5703125" style="241" customWidth="1"/>
    <col min="9022" max="9216" width="2.7109375" style="241"/>
    <col min="9217" max="9219" width="2.7109375" style="241" customWidth="1"/>
    <col min="9220" max="9220" width="3.7109375" style="241" customWidth="1"/>
    <col min="9221" max="9222" width="5" style="241" customWidth="1"/>
    <col min="9223" max="9223" width="5.5703125" style="241" customWidth="1"/>
    <col min="9224" max="9224" width="5.140625" style="241" customWidth="1"/>
    <col min="9225" max="9225" width="4.42578125" style="241" customWidth="1"/>
    <col min="9226" max="9226" width="2.7109375" style="241" customWidth="1"/>
    <col min="9227" max="9227" width="2.5703125" style="241" customWidth="1"/>
    <col min="9228" max="9229" width="2.7109375" style="241" customWidth="1"/>
    <col min="9230" max="9233" width="3" style="241" customWidth="1"/>
    <col min="9234" max="9237" width="2.7109375" style="241" customWidth="1"/>
    <col min="9238" max="9238" width="2.85546875" style="241" customWidth="1"/>
    <col min="9239" max="9244" width="2.7109375" style="241" customWidth="1"/>
    <col min="9245" max="9245" width="3.42578125" style="241" customWidth="1"/>
    <col min="9246" max="9246" width="2.7109375" style="241" customWidth="1"/>
    <col min="9247" max="9251" width="3.5703125" style="241" customWidth="1"/>
    <col min="9252" max="9276" width="2.7109375" style="241" customWidth="1"/>
    <col min="9277" max="9277" width="1.5703125" style="241" customWidth="1"/>
    <col min="9278" max="9472" width="2.7109375" style="241"/>
    <col min="9473" max="9475" width="2.7109375" style="241" customWidth="1"/>
    <col min="9476" max="9476" width="3.7109375" style="241" customWidth="1"/>
    <col min="9477" max="9478" width="5" style="241" customWidth="1"/>
    <col min="9479" max="9479" width="5.5703125" style="241" customWidth="1"/>
    <col min="9480" max="9480" width="5.140625" style="241" customWidth="1"/>
    <col min="9481" max="9481" width="4.42578125" style="241" customWidth="1"/>
    <col min="9482" max="9482" width="2.7109375" style="241" customWidth="1"/>
    <col min="9483" max="9483" width="2.5703125" style="241" customWidth="1"/>
    <col min="9484" max="9485" width="2.7109375" style="241" customWidth="1"/>
    <col min="9486" max="9489" width="3" style="241" customWidth="1"/>
    <col min="9490" max="9493" width="2.7109375" style="241" customWidth="1"/>
    <col min="9494" max="9494" width="2.85546875" style="241" customWidth="1"/>
    <col min="9495" max="9500" width="2.7109375" style="241" customWidth="1"/>
    <col min="9501" max="9501" width="3.42578125" style="241" customWidth="1"/>
    <col min="9502" max="9502" width="2.7109375" style="241" customWidth="1"/>
    <col min="9503" max="9507" width="3.5703125" style="241" customWidth="1"/>
    <col min="9508" max="9532" width="2.7109375" style="241" customWidth="1"/>
    <col min="9533" max="9533" width="1.5703125" style="241" customWidth="1"/>
    <col min="9534" max="9728" width="2.7109375" style="241"/>
    <col min="9729" max="9731" width="2.7109375" style="241" customWidth="1"/>
    <col min="9732" max="9732" width="3.7109375" style="241" customWidth="1"/>
    <col min="9733" max="9734" width="5" style="241" customWidth="1"/>
    <col min="9735" max="9735" width="5.5703125" style="241" customWidth="1"/>
    <col min="9736" max="9736" width="5.140625" style="241" customWidth="1"/>
    <col min="9737" max="9737" width="4.42578125" style="241" customWidth="1"/>
    <col min="9738" max="9738" width="2.7109375" style="241" customWidth="1"/>
    <col min="9739" max="9739" width="2.5703125" style="241" customWidth="1"/>
    <col min="9740" max="9741" width="2.7109375" style="241" customWidth="1"/>
    <col min="9742" max="9745" width="3" style="241" customWidth="1"/>
    <col min="9746" max="9749" width="2.7109375" style="241" customWidth="1"/>
    <col min="9750" max="9750" width="2.85546875" style="241" customWidth="1"/>
    <col min="9751" max="9756" width="2.7109375" style="241" customWidth="1"/>
    <col min="9757" max="9757" width="3.42578125" style="241" customWidth="1"/>
    <col min="9758" max="9758" width="2.7109375" style="241" customWidth="1"/>
    <col min="9759" max="9763" width="3.5703125" style="241" customWidth="1"/>
    <col min="9764" max="9788" width="2.7109375" style="241" customWidth="1"/>
    <col min="9789" max="9789" width="1.5703125" style="241" customWidth="1"/>
    <col min="9790" max="9984" width="2.7109375" style="241"/>
    <col min="9985" max="9987" width="2.7109375" style="241" customWidth="1"/>
    <col min="9988" max="9988" width="3.7109375" style="241" customWidth="1"/>
    <col min="9989" max="9990" width="5" style="241" customWidth="1"/>
    <col min="9991" max="9991" width="5.5703125" style="241" customWidth="1"/>
    <col min="9992" max="9992" width="5.140625" style="241" customWidth="1"/>
    <col min="9993" max="9993" width="4.42578125" style="241" customWidth="1"/>
    <col min="9994" max="9994" width="2.7109375" style="241" customWidth="1"/>
    <col min="9995" max="9995" width="2.5703125" style="241" customWidth="1"/>
    <col min="9996" max="9997" width="2.7109375" style="241" customWidth="1"/>
    <col min="9998" max="10001" width="3" style="241" customWidth="1"/>
    <col min="10002" max="10005" width="2.7109375" style="241" customWidth="1"/>
    <col min="10006" max="10006" width="2.85546875" style="241" customWidth="1"/>
    <col min="10007" max="10012" width="2.7109375" style="241" customWidth="1"/>
    <col min="10013" max="10013" width="3.42578125" style="241" customWidth="1"/>
    <col min="10014" max="10014" width="2.7109375" style="241" customWidth="1"/>
    <col min="10015" max="10019" width="3.5703125" style="241" customWidth="1"/>
    <col min="10020" max="10044" width="2.7109375" style="241" customWidth="1"/>
    <col min="10045" max="10045" width="1.5703125" style="241" customWidth="1"/>
    <col min="10046" max="10240" width="2.7109375" style="241"/>
    <col min="10241" max="10243" width="2.7109375" style="241" customWidth="1"/>
    <col min="10244" max="10244" width="3.7109375" style="241" customWidth="1"/>
    <col min="10245" max="10246" width="5" style="241" customWidth="1"/>
    <col min="10247" max="10247" width="5.5703125" style="241" customWidth="1"/>
    <col min="10248" max="10248" width="5.140625" style="241" customWidth="1"/>
    <col min="10249" max="10249" width="4.42578125" style="241" customWidth="1"/>
    <col min="10250" max="10250" width="2.7109375" style="241" customWidth="1"/>
    <col min="10251" max="10251" width="2.5703125" style="241" customWidth="1"/>
    <col min="10252" max="10253" width="2.7109375" style="241" customWidth="1"/>
    <col min="10254" max="10257" width="3" style="241" customWidth="1"/>
    <col min="10258" max="10261" width="2.7109375" style="241" customWidth="1"/>
    <col min="10262" max="10262" width="2.85546875" style="241" customWidth="1"/>
    <col min="10263" max="10268" width="2.7109375" style="241" customWidth="1"/>
    <col min="10269" max="10269" width="3.42578125" style="241" customWidth="1"/>
    <col min="10270" max="10270" width="2.7109375" style="241" customWidth="1"/>
    <col min="10271" max="10275" width="3.5703125" style="241" customWidth="1"/>
    <col min="10276" max="10300" width="2.7109375" style="241" customWidth="1"/>
    <col min="10301" max="10301" width="1.5703125" style="241" customWidth="1"/>
    <col min="10302" max="10496" width="2.7109375" style="241"/>
    <col min="10497" max="10499" width="2.7109375" style="241" customWidth="1"/>
    <col min="10500" max="10500" width="3.7109375" style="241" customWidth="1"/>
    <col min="10501" max="10502" width="5" style="241" customWidth="1"/>
    <col min="10503" max="10503" width="5.5703125" style="241" customWidth="1"/>
    <col min="10504" max="10504" width="5.140625" style="241" customWidth="1"/>
    <col min="10505" max="10505" width="4.42578125" style="241" customWidth="1"/>
    <col min="10506" max="10506" width="2.7109375" style="241" customWidth="1"/>
    <col min="10507" max="10507" width="2.5703125" style="241" customWidth="1"/>
    <col min="10508" max="10509" width="2.7109375" style="241" customWidth="1"/>
    <col min="10510" max="10513" width="3" style="241" customWidth="1"/>
    <col min="10514" max="10517" width="2.7109375" style="241" customWidth="1"/>
    <col min="10518" max="10518" width="2.85546875" style="241" customWidth="1"/>
    <col min="10519" max="10524" width="2.7109375" style="241" customWidth="1"/>
    <col min="10525" max="10525" width="3.42578125" style="241" customWidth="1"/>
    <col min="10526" max="10526" width="2.7109375" style="241" customWidth="1"/>
    <col min="10527" max="10531" width="3.5703125" style="241" customWidth="1"/>
    <col min="10532" max="10556" width="2.7109375" style="241" customWidth="1"/>
    <col min="10557" max="10557" width="1.5703125" style="241" customWidth="1"/>
    <col min="10558" max="10752" width="2.7109375" style="241"/>
    <col min="10753" max="10755" width="2.7109375" style="241" customWidth="1"/>
    <col min="10756" max="10756" width="3.7109375" style="241" customWidth="1"/>
    <col min="10757" max="10758" width="5" style="241" customWidth="1"/>
    <col min="10759" max="10759" width="5.5703125" style="241" customWidth="1"/>
    <col min="10760" max="10760" width="5.140625" style="241" customWidth="1"/>
    <col min="10761" max="10761" width="4.42578125" style="241" customWidth="1"/>
    <col min="10762" max="10762" width="2.7109375" style="241" customWidth="1"/>
    <col min="10763" max="10763" width="2.5703125" style="241" customWidth="1"/>
    <col min="10764" max="10765" width="2.7109375" style="241" customWidth="1"/>
    <col min="10766" max="10769" width="3" style="241" customWidth="1"/>
    <col min="10770" max="10773" width="2.7109375" style="241" customWidth="1"/>
    <col min="10774" max="10774" width="2.85546875" style="241" customWidth="1"/>
    <col min="10775" max="10780" width="2.7109375" style="241" customWidth="1"/>
    <col min="10781" max="10781" width="3.42578125" style="241" customWidth="1"/>
    <col min="10782" max="10782" width="2.7109375" style="241" customWidth="1"/>
    <col min="10783" max="10787" width="3.5703125" style="241" customWidth="1"/>
    <col min="10788" max="10812" width="2.7109375" style="241" customWidth="1"/>
    <col min="10813" max="10813" width="1.5703125" style="241" customWidth="1"/>
    <col min="10814" max="11008" width="2.7109375" style="241"/>
    <col min="11009" max="11011" width="2.7109375" style="241" customWidth="1"/>
    <col min="11012" max="11012" width="3.7109375" style="241" customWidth="1"/>
    <col min="11013" max="11014" width="5" style="241" customWidth="1"/>
    <col min="11015" max="11015" width="5.5703125" style="241" customWidth="1"/>
    <col min="11016" max="11016" width="5.140625" style="241" customWidth="1"/>
    <col min="11017" max="11017" width="4.42578125" style="241" customWidth="1"/>
    <col min="11018" max="11018" width="2.7109375" style="241" customWidth="1"/>
    <col min="11019" max="11019" width="2.5703125" style="241" customWidth="1"/>
    <col min="11020" max="11021" width="2.7109375" style="241" customWidth="1"/>
    <col min="11022" max="11025" width="3" style="241" customWidth="1"/>
    <col min="11026" max="11029" width="2.7109375" style="241" customWidth="1"/>
    <col min="11030" max="11030" width="2.85546875" style="241" customWidth="1"/>
    <col min="11031" max="11036" width="2.7109375" style="241" customWidth="1"/>
    <col min="11037" max="11037" width="3.42578125" style="241" customWidth="1"/>
    <col min="11038" max="11038" width="2.7109375" style="241" customWidth="1"/>
    <col min="11039" max="11043" width="3.5703125" style="241" customWidth="1"/>
    <col min="11044" max="11068" width="2.7109375" style="241" customWidth="1"/>
    <col min="11069" max="11069" width="1.5703125" style="241" customWidth="1"/>
    <col min="11070" max="11264" width="2.7109375" style="241"/>
    <col min="11265" max="11267" width="2.7109375" style="241" customWidth="1"/>
    <col min="11268" max="11268" width="3.7109375" style="241" customWidth="1"/>
    <col min="11269" max="11270" width="5" style="241" customWidth="1"/>
    <col min="11271" max="11271" width="5.5703125" style="241" customWidth="1"/>
    <col min="11272" max="11272" width="5.140625" style="241" customWidth="1"/>
    <col min="11273" max="11273" width="4.42578125" style="241" customWidth="1"/>
    <col min="11274" max="11274" width="2.7109375" style="241" customWidth="1"/>
    <col min="11275" max="11275" width="2.5703125" style="241" customWidth="1"/>
    <col min="11276" max="11277" width="2.7109375" style="241" customWidth="1"/>
    <col min="11278" max="11281" width="3" style="241" customWidth="1"/>
    <col min="11282" max="11285" width="2.7109375" style="241" customWidth="1"/>
    <col min="11286" max="11286" width="2.85546875" style="241" customWidth="1"/>
    <col min="11287" max="11292" width="2.7109375" style="241" customWidth="1"/>
    <col min="11293" max="11293" width="3.42578125" style="241" customWidth="1"/>
    <col min="11294" max="11294" width="2.7109375" style="241" customWidth="1"/>
    <col min="11295" max="11299" width="3.5703125" style="241" customWidth="1"/>
    <col min="11300" max="11324" width="2.7109375" style="241" customWidth="1"/>
    <col min="11325" max="11325" width="1.5703125" style="241" customWidth="1"/>
    <col min="11326" max="11520" width="2.7109375" style="241"/>
    <col min="11521" max="11523" width="2.7109375" style="241" customWidth="1"/>
    <col min="11524" max="11524" width="3.7109375" style="241" customWidth="1"/>
    <col min="11525" max="11526" width="5" style="241" customWidth="1"/>
    <col min="11527" max="11527" width="5.5703125" style="241" customWidth="1"/>
    <col min="11528" max="11528" width="5.140625" style="241" customWidth="1"/>
    <col min="11529" max="11529" width="4.42578125" style="241" customWidth="1"/>
    <col min="11530" max="11530" width="2.7109375" style="241" customWidth="1"/>
    <col min="11531" max="11531" width="2.5703125" style="241" customWidth="1"/>
    <col min="11532" max="11533" width="2.7109375" style="241" customWidth="1"/>
    <col min="11534" max="11537" width="3" style="241" customWidth="1"/>
    <col min="11538" max="11541" width="2.7109375" style="241" customWidth="1"/>
    <col min="11542" max="11542" width="2.85546875" style="241" customWidth="1"/>
    <col min="11543" max="11548" width="2.7109375" style="241" customWidth="1"/>
    <col min="11549" max="11549" width="3.42578125" style="241" customWidth="1"/>
    <col min="11550" max="11550" width="2.7109375" style="241" customWidth="1"/>
    <col min="11551" max="11555" width="3.5703125" style="241" customWidth="1"/>
    <col min="11556" max="11580" width="2.7109375" style="241" customWidth="1"/>
    <col min="11581" max="11581" width="1.5703125" style="241" customWidth="1"/>
    <col min="11582" max="11776" width="2.7109375" style="241"/>
    <col min="11777" max="11779" width="2.7109375" style="241" customWidth="1"/>
    <col min="11780" max="11780" width="3.7109375" style="241" customWidth="1"/>
    <col min="11781" max="11782" width="5" style="241" customWidth="1"/>
    <col min="11783" max="11783" width="5.5703125" style="241" customWidth="1"/>
    <col min="11784" max="11784" width="5.140625" style="241" customWidth="1"/>
    <col min="11785" max="11785" width="4.42578125" style="241" customWidth="1"/>
    <col min="11786" max="11786" width="2.7109375" style="241" customWidth="1"/>
    <col min="11787" max="11787" width="2.5703125" style="241" customWidth="1"/>
    <col min="11788" max="11789" width="2.7109375" style="241" customWidth="1"/>
    <col min="11790" max="11793" width="3" style="241" customWidth="1"/>
    <col min="11794" max="11797" width="2.7109375" style="241" customWidth="1"/>
    <col min="11798" max="11798" width="2.85546875" style="241" customWidth="1"/>
    <col min="11799" max="11804" width="2.7109375" style="241" customWidth="1"/>
    <col min="11805" max="11805" width="3.42578125" style="241" customWidth="1"/>
    <col min="11806" max="11806" width="2.7109375" style="241" customWidth="1"/>
    <col min="11807" max="11811" width="3.5703125" style="241" customWidth="1"/>
    <col min="11812" max="11836" width="2.7109375" style="241" customWidth="1"/>
    <col min="11837" max="11837" width="1.5703125" style="241" customWidth="1"/>
    <col min="11838" max="12032" width="2.7109375" style="241"/>
    <col min="12033" max="12035" width="2.7109375" style="241" customWidth="1"/>
    <col min="12036" max="12036" width="3.7109375" style="241" customWidth="1"/>
    <col min="12037" max="12038" width="5" style="241" customWidth="1"/>
    <col min="12039" max="12039" width="5.5703125" style="241" customWidth="1"/>
    <col min="12040" max="12040" width="5.140625" style="241" customWidth="1"/>
    <col min="12041" max="12041" width="4.42578125" style="241" customWidth="1"/>
    <col min="12042" max="12042" width="2.7109375" style="241" customWidth="1"/>
    <col min="12043" max="12043" width="2.5703125" style="241" customWidth="1"/>
    <col min="12044" max="12045" width="2.7109375" style="241" customWidth="1"/>
    <col min="12046" max="12049" width="3" style="241" customWidth="1"/>
    <col min="12050" max="12053" width="2.7109375" style="241" customWidth="1"/>
    <col min="12054" max="12054" width="2.85546875" style="241" customWidth="1"/>
    <col min="12055" max="12060" width="2.7109375" style="241" customWidth="1"/>
    <col min="12061" max="12061" width="3.42578125" style="241" customWidth="1"/>
    <col min="12062" max="12062" width="2.7109375" style="241" customWidth="1"/>
    <col min="12063" max="12067" width="3.5703125" style="241" customWidth="1"/>
    <col min="12068" max="12092" width="2.7109375" style="241" customWidth="1"/>
    <col min="12093" max="12093" width="1.5703125" style="241" customWidth="1"/>
    <col min="12094" max="12288" width="2.7109375" style="241"/>
    <col min="12289" max="12291" width="2.7109375" style="241" customWidth="1"/>
    <col min="12292" max="12292" width="3.7109375" style="241" customWidth="1"/>
    <col min="12293" max="12294" width="5" style="241" customWidth="1"/>
    <col min="12295" max="12295" width="5.5703125" style="241" customWidth="1"/>
    <col min="12296" max="12296" width="5.140625" style="241" customWidth="1"/>
    <col min="12297" max="12297" width="4.42578125" style="241" customWidth="1"/>
    <col min="12298" max="12298" width="2.7109375" style="241" customWidth="1"/>
    <col min="12299" max="12299" width="2.5703125" style="241" customWidth="1"/>
    <col min="12300" max="12301" width="2.7109375" style="241" customWidth="1"/>
    <col min="12302" max="12305" width="3" style="241" customWidth="1"/>
    <col min="12306" max="12309" width="2.7109375" style="241" customWidth="1"/>
    <col min="12310" max="12310" width="2.85546875" style="241" customWidth="1"/>
    <col min="12311" max="12316" width="2.7109375" style="241" customWidth="1"/>
    <col min="12317" max="12317" width="3.42578125" style="241" customWidth="1"/>
    <col min="12318" max="12318" width="2.7109375" style="241" customWidth="1"/>
    <col min="12319" max="12323" width="3.5703125" style="241" customWidth="1"/>
    <col min="12324" max="12348" width="2.7109375" style="241" customWidth="1"/>
    <col min="12349" max="12349" width="1.5703125" style="241" customWidth="1"/>
    <col min="12350" max="12544" width="2.7109375" style="241"/>
    <col min="12545" max="12547" width="2.7109375" style="241" customWidth="1"/>
    <col min="12548" max="12548" width="3.7109375" style="241" customWidth="1"/>
    <col min="12549" max="12550" width="5" style="241" customWidth="1"/>
    <col min="12551" max="12551" width="5.5703125" style="241" customWidth="1"/>
    <col min="12552" max="12552" width="5.140625" style="241" customWidth="1"/>
    <col min="12553" max="12553" width="4.42578125" style="241" customWidth="1"/>
    <col min="12554" max="12554" width="2.7109375" style="241" customWidth="1"/>
    <col min="12555" max="12555" width="2.5703125" style="241" customWidth="1"/>
    <col min="12556" max="12557" width="2.7109375" style="241" customWidth="1"/>
    <col min="12558" max="12561" width="3" style="241" customWidth="1"/>
    <col min="12562" max="12565" width="2.7109375" style="241" customWidth="1"/>
    <col min="12566" max="12566" width="2.85546875" style="241" customWidth="1"/>
    <col min="12567" max="12572" width="2.7109375" style="241" customWidth="1"/>
    <col min="12573" max="12573" width="3.42578125" style="241" customWidth="1"/>
    <col min="12574" max="12574" width="2.7109375" style="241" customWidth="1"/>
    <col min="12575" max="12579" width="3.5703125" style="241" customWidth="1"/>
    <col min="12580" max="12604" width="2.7109375" style="241" customWidth="1"/>
    <col min="12605" max="12605" width="1.5703125" style="241" customWidth="1"/>
    <col min="12606" max="12800" width="2.7109375" style="241"/>
    <col min="12801" max="12803" width="2.7109375" style="241" customWidth="1"/>
    <col min="12804" max="12804" width="3.7109375" style="241" customWidth="1"/>
    <col min="12805" max="12806" width="5" style="241" customWidth="1"/>
    <col min="12807" max="12807" width="5.5703125" style="241" customWidth="1"/>
    <col min="12808" max="12808" width="5.140625" style="241" customWidth="1"/>
    <col min="12809" max="12809" width="4.42578125" style="241" customWidth="1"/>
    <col min="12810" max="12810" width="2.7109375" style="241" customWidth="1"/>
    <col min="12811" max="12811" width="2.5703125" style="241" customWidth="1"/>
    <col min="12812" max="12813" width="2.7109375" style="241" customWidth="1"/>
    <col min="12814" max="12817" width="3" style="241" customWidth="1"/>
    <col min="12818" max="12821" width="2.7109375" style="241" customWidth="1"/>
    <col min="12822" max="12822" width="2.85546875" style="241" customWidth="1"/>
    <col min="12823" max="12828" width="2.7109375" style="241" customWidth="1"/>
    <col min="12829" max="12829" width="3.42578125" style="241" customWidth="1"/>
    <col min="12830" max="12830" width="2.7109375" style="241" customWidth="1"/>
    <col min="12831" max="12835" width="3.5703125" style="241" customWidth="1"/>
    <col min="12836" max="12860" width="2.7109375" style="241" customWidth="1"/>
    <col min="12861" max="12861" width="1.5703125" style="241" customWidth="1"/>
    <col min="12862" max="13056" width="2.7109375" style="241"/>
    <col min="13057" max="13059" width="2.7109375" style="241" customWidth="1"/>
    <col min="13060" max="13060" width="3.7109375" style="241" customWidth="1"/>
    <col min="13061" max="13062" width="5" style="241" customWidth="1"/>
    <col min="13063" max="13063" width="5.5703125" style="241" customWidth="1"/>
    <col min="13064" max="13064" width="5.140625" style="241" customWidth="1"/>
    <col min="13065" max="13065" width="4.42578125" style="241" customWidth="1"/>
    <col min="13066" max="13066" width="2.7109375" style="241" customWidth="1"/>
    <col min="13067" max="13067" width="2.5703125" style="241" customWidth="1"/>
    <col min="13068" max="13069" width="2.7109375" style="241" customWidth="1"/>
    <col min="13070" max="13073" width="3" style="241" customWidth="1"/>
    <col min="13074" max="13077" width="2.7109375" style="241" customWidth="1"/>
    <col min="13078" max="13078" width="2.85546875" style="241" customWidth="1"/>
    <col min="13079" max="13084" width="2.7109375" style="241" customWidth="1"/>
    <col min="13085" max="13085" width="3.42578125" style="241" customWidth="1"/>
    <col min="13086" max="13086" width="2.7109375" style="241" customWidth="1"/>
    <col min="13087" max="13091" width="3.5703125" style="241" customWidth="1"/>
    <col min="13092" max="13116" width="2.7109375" style="241" customWidth="1"/>
    <col min="13117" max="13117" width="1.5703125" style="241" customWidth="1"/>
    <col min="13118" max="13312" width="2.7109375" style="241"/>
    <col min="13313" max="13315" width="2.7109375" style="241" customWidth="1"/>
    <col min="13316" max="13316" width="3.7109375" style="241" customWidth="1"/>
    <col min="13317" max="13318" width="5" style="241" customWidth="1"/>
    <col min="13319" max="13319" width="5.5703125" style="241" customWidth="1"/>
    <col min="13320" max="13320" width="5.140625" style="241" customWidth="1"/>
    <col min="13321" max="13321" width="4.42578125" style="241" customWidth="1"/>
    <col min="13322" max="13322" width="2.7109375" style="241" customWidth="1"/>
    <col min="13323" max="13323" width="2.5703125" style="241" customWidth="1"/>
    <col min="13324" max="13325" width="2.7109375" style="241" customWidth="1"/>
    <col min="13326" max="13329" width="3" style="241" customWidth="1"/>
    <col min="13330" max="13333" width="2.7109375" style="241" customWidth="1"/>
    <col min="13334" max="13334" width="2.85546875" style="241" customWidth="1"/>
    <col min="13335" max="13340" width="2.7109375" style="241" customWidth="1"/>
    <col min="13341" max="13341" width="3.42578125" style="241" customWidth="1"/>
    <col min="13342" max="13342" width="2.7109375" style="241" customWidth="1"/>
    <col min="13343" max="13347" width="3.5703125" style="241" customWidth="1"/>
    <col min="13348" max="13372" width="2.7109375" style="241" customWidth="1"/>
    <col min="13373" max="13373" width="1.5703125" style="241" customWidth="1"/>
    <col min="13374" max="13568" width="2.7109375" style="241"/>
    <col min="13569" max="13571" width="2.7109375" style="241" customWidth="1"/>
    <col min="13572" max="13572" width="3.7109375" style="241" customWidth="1"/>
    <col min="13573" max="13574" width="5" style="241" customWidth="1"/>
    <col min="13575" max="13575" width="5.5703125" style="241" customWidth="1"/>
    <col min="13576" max="13576" width="5.140625" style="241" customWidth="1"/>
    <col min="13577" max="13577" width="4.42578125" style="241" customWidth="1"/>
    <col min="13578" max="13578" width="2.7109375" style="241" customWidth="1"/>
    <col min="13579" max="13579" width="2.5703125" style="241" customWidth="1"/>
    <col min="13580" max="13581" width="2.7109375" style="241" customWidth="1"/>
    <col min="13582" max="13585" width="3" style="241" customWidth="1"/>
    <col min="13586" max="13589" width="2.7109375" style="241" customWidth="1"/>
    <col min="13590" max="13590" width="2.85546875" style="241" customWidth="1"/>
    <col min="13591" max="13596" width="2.7109375" style="241" customWidth="1"/>
    <col min="13597" max="13597" width="3.42578125" style="241" customWidth="1"/>
    <col min="13598" max="13598" width="2.7109375" style="241" customWidth="1"/>
    <col min="13599" max="13603" width="3.5703125" style="241" customWidth="1"/>
    <col min="13604" max="13628" width="2.7109375" style="241" customWidth="1"/>
    <col min="13629" max="13629" width="1.5703125" style="241" customWidth="1"/>
    <col min="13630" max="13824" width="2.7109375" style="241"/>
    <col min="13825" max="13827" width="2.7109375" style="241" customWidth="1"/>
    <col min="13828" max="13828" width="3.7109375" style="241" customWidth="1"/>
    <col min="13829" max="13830" width="5" style="241" customWidth="1"/>
    <col min="13831" max="13831" width="5.5703125" style="241" customWidth="1"/>
    <col min="13832" max="13832" width="5.140625" style="241" customWidth="1"/>
    <col min="13833" max="13833" width="4.42578125" style="241" customWidth="1"/>
    <col min="13834" max="13834" width="2.7109375" style="241" customWidth="1"/>
    <col min="13835" max="13835" width="2.5703125" style="241" customWidth="1"/>
    <col min="13836" max="13837" width="2.7109375" style="241" customWidth="1"/>
    <col min="13838" max="13841" width="3" style="241" customWidth="1"/>
    <col min="13842" max="13845" width="2.7109375" style="241" customWidth="1"/>
    <col min="13846" max="13846" width="2.85546875" style="241" customWidth="1"/>
    <col min="13847" max="13852" width="2.7109375" style="241" customWidth="1"/>
    <col min="13853" max="13853" width="3.42578125" style="241" customWidth="1"/>
    <col min="13854" max="13854" width="2.7109375" style="241" customWidth="1"/>
    <col min="13855" max="13859" width="3.5703125" style="241" customWidth="1"/>
    <col min="13860" max="13884" width="2.7109375" style="241" customWidth="1"/>
    <col min="13885" max="13885" width="1.5703125" style="241" customWidth="1"/>
    <col min="13886" max="14080" width="2.7109375" style="241"/>
    <col min="14081" max="14083" width="2.7109375" style="241" customWidth="1"/>
    <col min="14084" max="14084" width="3.7109375" style="241" customWidth="1"/>
    <col min="14085" max="14086" width="5" style="241" customWidth="1"/>
    <col min="14087" max="14087" width="5.5703125" style="241" customWidth="1"/>
    <col min="14088" max="14088" width="5.140625" style="241" customWidth="1"/>
    <col min="14089" max="14089" width="4.42578125" style="241" customWidth="1"/>
    <col min="14090" max="14090" width="2.7109375" style="241" customWidth="1"/>
    <col min="14091" max="14091" width="2.5703125" style="241" customWidth="1"/>
    <col min="14092" max="14093" width="2.7109375" style="241" customWidth="1"/>
    <col min="14094" max="14097" width="3" style="241" customWidth="1"/>
    <col min="14098" max="14101" width="2.7109375" style="241" customWidth="1"/>
    <col min="14102" max="14102" width="2.85546875" style="241" customWidth="1"/>
    <col min="14103" max="14108" width="2.7109375" style="241" customWidth="1"/>
    <col min="14109" max="14109" width="3.42578125" style="241" customWidth="1"/>
    <col min="14110" max="14110" width="2.7109375" style="241" customWidth="1"/>
    <col min="14111" max="14115" width="3.5703125" style="241" customWidth="1"/>
    <col min="14116" max="14140" width="2.7109375" style="241" customWidth="1"/>
    <col min="14141" max="14141" width="1.5703125" style="241" customWidth="1"/>
    <col min="14142" max="14336" width="2.7109375" style="241"/>
    <col min="14337" max="14339" width="2.7109375" style="241" customWidth="1"/>
    <col min="14340" max="14340" width="3.7109375" style="241" customWidth="1"/>
    <col min="14341" max="14342" width="5" style="241" customWidth="1"/>
    <col min="14343" max="14343" width="5.5703125" style="241" customWidth="1"/>
    <col min="14344" max="14344" width="5.140625" style="241" customWidth="1"/>
    <col min="14345" max="14345" width="4.42578125" style="241" customWidth="1"/>
    <col min="14346" max="14346" width="2.7109375" style="241" customWidth="1"/>
    <col min="14347" max="14347" width="2.5703125" style="241" customWidth="1"/>
    <col min="14348" max="14349" width="2.7109375" style="241" customWidth="1"/>
    <col min="14350" max="14353" width="3" style="241" customWidth="1"/>
    <col min="14354" max="14357" width="2.7109375" style="241" customWidth="1"/>
    <col min="14358" max="14358" width="2.85546875" style="241" customWidth="1"/>
    <col min="14359" max="14364" width="2.7109375" style="241" customWidth="1"/>
    <col min="14365" max="14365" width="3.42578125" style="241" customWidth="1"/>
    <col min="14366" max="14366" width="2.7109375" style="241" customWidth="1"/>
    <col min="14367" max="14371" width="3.5703125" style="241" customWidth="1"/>
    <col min="14372" max="14396" width="2.7109375" style="241" customWidth="1"/>
    <col min="14397" max="14397" width="1.5703125" style="241" customWidth="1"/>
    <col min="14398" max="14592" width="2.7109375" style="241"/>
    <col min="14593" max="14595" width="2.7109375" style="241" customWidth="1"/>
    <col min="14596" max="14596" width="3.7109375" style="241" customWidth="1"/>
    <col min="14597" max="14598" width="5" style="241" customWidth="1"/>
    <col min="14599" max="14599" width="5.5703125" style="241" customWidth="1"/>
    <col min="14600" max="14600" width="5.140625" style="241" customWidth="1"/>
    <col min="14601" max="14601" width="4.42578125" style="241" customWidth="1"/>
    <col min="14602" max="14602" width="2.7109375" style="241" customWidth="1"/>
    <col min="14603" max="14603" width="2.5703125" style="241" customWidth="1"/>
    <col min="14604" max="14605" width="2.7109375" style="241" customWidth="1"/>
    <col min="14606" max="14609" width="3" style="241" customWidth="1"/>
    <col min="14610" max="14613" width="2.7109375" style="241" customWidth="1"/>
    <col min="14614" max="14614" width="2.85546875" style="241" customWidth="1"/>
    <col min="14615" max="14620" width="2.7109375" style="241" customWidth="1"/>
    <col min="14621" max="14621" width="3.42578125" style="241" customWidth="1"/>
    <col min="14622" max="14622" width="2.7109375" style="241" customWidth="1"/>
    <col min="14623" max="14627" width="3.5703125" style="241" customWidth="1"/>
    <col min="14628" max="14652" width="2.7109375" style="241" customWidth="1"/>
    <col min="14653" max="14653" width="1.5703125" style="241" customWidth="1"/>
    <col min="14654" max="14848" width="2.7109375" style="241"/>
    <col min="14849" max="14851" width="2.7109375" style="241" customWidth="1"/>
    <col min="14852" max="14852" width="3.7109375" style="241" customWidth="1"/>
    <col min="14853" max="14854" width="5" style="241" customWidth="1"/>
    <col min="14855" max="14855" width="5.5703125" style="241" customWidth="1"/>
    <col min="14856" max="14856" width="5.140625" style="241" customWidth="1"/>
    <col min="14857" max="14857" width="4.42578125" style="241" customWidth="1"/>
    <col min="14858" max="14858" width="2.7109375" style="241" customWidth="1"/>
    <col min="14859" max="14859" width="2.5703125" style="241" customWidth="1"/>
    <col min="14860" max="14861" width="2.7109375" style="241" customWidth="1"/>
    <col min="14862" max="14865" width="3" style="241" customWidth="1"/>
    <col min="14866" max="14869" width="2.7109375" style="241" customWidth="1"/>
    <col min="14870" max="14870" width="2.85546875" style="241" customWidth="1"/>
    <col min="14871" max="14876" width="2.7109375" style="241" customWidth="1"/>
    <col min="14877" max="14877" width="3.42578125" style="241" customWidth="1"/>
    <col min="14878" max="14878" width="2.7109375" style="241" customWidth="1"/>
    <col min="14879" max="14883" width="3.5703125" style="241" customWidth="1"/>
    <col min="14884" max="14908" width="2.7109375" style="241" customWidth="1"/>
    <col min="14909" max="14909" width="1.5703125" style="241" customWidth="1"/>
    <col min="14910" max="15104" width="2.7109375" style="241"/>
    <col min="15105" max="15107" width="2.7109375" style="241" customWidth="1"/>
    <col min="15108" max="15108" width="3.7109375" style="241" customWidth="1"/>
    <col min="15109" max="15110" width="5" style="241" customWidth="1"/>
    <col min="15111" max="15111" width="5.5703125" style="241" customWidth="1"/>
    <col min="15112" max="15112" width="5.140625" style="241" customWidth="1"/>
    <col min="15113" max="15113" width="4.42578125" style="241" customWidth="1"/>
    <col min="15114" max="15114" width="2.7109375" style="241" customWidth="1"/>
    <col min="15115" max="15115" width="2.5703125" style="241" customWidth="1"/>
    <col min="15116" max="15117" width="2.7109375" style="241" customWidth="1"/>
    <col min="15118" max="15121" width="3" style="241" customWidth="1"/>
    <col min="15122" max="15125" width="2.7109375" style="241" customWidth="1"/>
    <col min="15126" max="15126" width="2.85546875" style="241" customWidth="1"/>
    <col min="15127" max="15132" width="2.7109375" style="241" customWidth="1"/>
    <col min="15133" max="15133" width="3.42578125" style="241" customWidth="1"/>
    <col min="15134" max="15134" width="2.7109375" style="241" customWidth="1"/>
    <col min="15135" max="15139" width="3.5703125" style="241" customWidth="1"/>
    <col min="15140" max="15164" width="2.7109375" style="241" customWidth="1"/>
    <col min="15165" max="15165" width="1.5703125" style="241" customWidth="1"/>
    <col min="15166" max="15360" width="2.7109375" style="241"/>
    <col min="15361" max="15363" width="2.7109375" style="241" customWidth="1"/>
    <col min="15364" max="15364" width="3.7109375" style="241" customWidth="1"/>
    <col min="15365" max="15366" width="5" style="241" customWidth="1"/>
    <col min="15367" max="15367" width="5.5703125" style="241" customWidth="1"/>
    <col min="15368" max="15368" width="5.140625" style="241" customWidth="1"/>
    <col min="15369" max="15369" width="4.42578125" style="241" customWidth="1"/>
    <col min="15370" max="15370" width="2.7109375" style="241" customWidth="1"/>
    <col min="15371" max="15371" width="2.5703125" style="241" customWidth="1"/>
    <col min="15372" max="15373" width="2.7109375" style="241" customWidth="1"/>
    <col min="15374" max="15377" width="3" style="241" customWidth="1"/>
    <col min="15378" max="15381" width="2.7109375" style="241" customWidth="1"/>
    <col min="15382" max="15382" width="2.85546875" style="241" customWidth="1"/>
    <col min="15383" max="15388" width="2.7109375" style="241" customWidth="1"/>
    <col min="15389" max="15389" width="3.42578125" style="241" customWidth="1"/>
    <col min="15390" max="15390" width="2.7109375" style="241" customWidth="1"/>
    <col min="15391" max="15395" width="3.5703125" style="241" customWidth="1"/>
    <col min="15396" max="15420" width="2.7109375" style="241" customWidth="1"/>
    <col min="15421" max="15421" width="1.5703125" style="241" customWidth="1"/>
    <col min="15422" max="15616" width="2.7109375" style="241"/>
    <col min="15617" max="15619" width="2.7109375" style="241" customWidth="1"/>
    <col min="15620" max="15620" width="3.7109375" style="241" customWidth="1"/>
    <col min="15621" max="15622" width="5" style="241" customWidth="1"/>
    <col min="15623" max="15623" width="5.5703125" style="241" customWidth="1"/>
    <col min="15624" max="15624" width="5.140625" style="241" customWidth="1"/>
    <col min="15625" max="15625" width="4.42578125" style="241" customWidth="1"/>
    <col min="15626" max="15626" width="2.7109375" style="241" customWidth="1"/>
    <col min="15627" max="15627" width="2.5703125" style="241" customWidth="1"/>
    <col min="15628" max="15629" width="2.7109375" style="241" customWidth="1"/>
    <col min="15630" max="15633" width="3" style="241" customWidth="1"/>
    <col min="15634" max="15637" width="2.7109375" style="241" customWidth="1"/>
    <col min="15638" max="15638" width="2.85546875" style="241" customWidth="1"/>
    <col min="15639" max="15644" width="2.7109375" style="241" customWidth="1"/>
    <col min="15645" max="15645" width="3.42578125" style="241" customWidth="1"/>
    <col min="15646" max="15646" width="2.7109375" style="241" customWidth="1"/>
    <col min="15647" max="15651" width="3.5703125" style="241" customWidth="1"/>
    <col min="15652" max="15676" width="2.7109375" style="241" customWidth="1"/>
    <col min="15677" max="15677" width="1.5703125" style="241" customWidth="1"/>
    <col min="15678" max="15872" width="2.7109375" style="241"/>
    <col min="15873" max="15875" width="2.7109375" style="241" customWidth="1"/>
    <col min="15876" max="15876" width="3.7109375" style="241" customWidth="1"/>
    <col min="15877" max="15878" width="5" style="241" customWidth="1"/>
    <col min="15879" max="15879" width="5.5703125" style="241" customWidth="1"/>
    <col min="15880" max="15880" width="5.140625" style="241" customWidth="1"/>
    <col min="15881" max="15881" width="4.42578125" style="241" customWidth="1"/>
    <col min="15882" max="15882" width="2.7109375" style="241" customWidth="1"/>
    <col min="15883" max="15883" width="2.5703125" style="241" customWidth="1"/>
    <col min="15884" max="15885" width="2.7109375" style="241" customWidth="1"/>
    <col min="15886" max="15889" width="3" style="241" customWidth="1"/>
    <col min="15890" max="15893" width="2.7109375" style="241" customWidth="1"/>
    <col min="15894" max="15894" width="2.85546875" style="241" customWidth="1"/>
    <col min="15895" max="15900" width="2.7109375" style="241" customWidth="1"/>
    <col min="15901" max="15901" width="3.42578125" style="241" customWidth="1"/>
    <col min="15902" max="15902" width="2.7109375" style="241" customWidth="1"/>
    <col min="15903" max="15907" width="3.5703125" style="241" customWidth="1"/>
    <col min="15908" max="15932" width="2.7109375" style="241" customWidth="1"/>
    <col min="15933" max="15933" width="1.5703125" style="241" customWidth="1"/>
    <col min="15934" max="16128" width="2.7109375" style="241"/>
    <col min="16129" max="16131" width="2.7109375" style="241" customWidth="1"/>
    <col min="16132" max="16132" width="3.7109375" style="241" customWidth="1"/>
    <col min="16133" max="16134" width="5" style="241" customWidth="1"/>
    <col min="16135" max="16135" width="5.5703125" style="241" customWidth="1"/>
    <col min="16136" max="16136" width="5.140625" style="241" customWidth="1"/>
    <col min="16137" max="16137" width="4.42578125" style="241" customWidth="1"/>
    <col min="16138" max="16138" width="2.7109375" style="241" customWidth="1"/>
    <col min="16139" max="16139" width="2.5703125" style="241" customWidth="1"/>
    <col min="16140" max="16141" width="2.7109375" style="241" customWidth="1"/>
    <col min="16142" max="16145" width="3" style="241" customWidth="1"/>
    <col min="16146" max="16149" width="2.7109375" style="241" customWidth="1"/>
    <col min="16150" max="16150" width="2.85546875" style="241" customWidth="1"/>
    <col min="16151" max="16156" width="2.7109375" style="241" customWidth="1"/>
    <col min="16157" max="16157" width="3.42578125" style="241" customWidth="1"/>
    <col min="16158" max="16158" width="2.7109375" style="241" customWidth="1"/>
    <col min="16159" max="16163" width="3.5703125" style="241" customWidth="1"/>
    <col min="16164" max="16188" width="2.7109375" style="241" customWidth="1"/>
    <col min="16189" max="16189" width="1.5703125" style="241" customWidth="1"/>
    <col min="16190" max="16384" width="2.7109375" style="241"/>
  </cols>
  <sheetData>
    <row r="1" spans="1:53" ht="14.1" customHeight="1">
      <c r="A1" s="3563"/>
      <c r="B1" s="3564"/>
      <c r="C1" s="3564"/>
      <c r="D1" s="3564"/>
      <c r="E1" s="3564"/>
      <c r="F1" s="3565"/>
      <c r="G1" s="3542" t="s">
        <v>199</v>
      </c>
      <c r="H1" s="3542"/>
      <c r="I1" s="3542"/>
      <c r="J1" s="3542"/>
      <c r="K1" s="3542"/>
      <c r="L1" s="3542"/>
      <c r="M1" s="3542"/>
      <c r="N1" s="3542"/>
      <c r="O1" s="3542"/>
      <c r="P1" s="3542"/>
      <c r="Q1" s="3542"/>
      <c r="R1" s="3542"/>
      <c r="S1" s="3542"/>
      <c r="T1" s="3542"/>
      <c r="U1" s="3542"/>
      <c r="V1" s="3542"/>
      <c r="W1" s="3542"/>
      <c r="X1" s="3542"/>
      <c r="Y1" s="3542"/>
      <c r="Z1" s="3542"/>
      <c r="AA1" s="3542"/>
      <c r="AB1" s="3542"/>
      <c r="AC1" s="3542"/>
      <c r="AD1" s="3542"/>
      <c r="AE1" s="3542"/>
      <c r="AF1" s="3542"/>
      <c r="AG1" s="3542"/>
      <c r="AH1" s="3542"/>
      <c r="AI1" s="3543"/>
    </row>
    <row r="2" spans="1:53" ht="23.25" customHeight="1">
      <c r="A2" s="3566"/>
      <c r="B2" s="3567"/>
      <c r="C2" s="3567"/>
      <c r="D2" s="3567"/>
      <c r="E2" s="3567"/>
      <c r="F2" s="3568"/>
      <c r="G2" s="3544" t="s">
        <v>645</v>
      </c>
      <c r="H2" s="3544"/>
      <c r="I2" s="3544"/>
      <c r="J2" s="3544"/>
      <c r="K2" s="3544"/>
      <c r="L2" s="3544"/>
      <c r="M2" s="3544"/>
      <c r="N2" s="3544"/>
      <c r="O2" s="3544"/>
      <c r="P2" s="3544"/>
      <c r="Q2" s="3544"/>
      <c r="R2" s="3544"/>
      <c r="S2" s="3544"/>
      <c r="T2" s="3544"/>
      <c r="U2" s="3544"/>
      <c r="V2" s="3544"/>
      <c r="W2" s="3544"/>
      <c r="X2" s="3544"/>
      <c r="Y2" s="3544"/>
      <c r="Z2" s="3544"/>
      <c r="AA2" s="3544"/>
      <c r="AB2" s="3544"/>
      <c r="AC2" s="3544"/>
      <c r="AD2" s="3544"/>
      <c r="AE2" s="3544"/>
      <c r="AF2" s="3544"/>
      <c r="AG2" s="3544"/>
      <c r="AH2" s="3544"/>
      <c r="AI2" s="3545"/>
    </row>
    <row r="3" spans="1:53" ht="14.1" customHeight="1">
      <c r="A3" s="3566"/>
      <c r="B3" s="3567"/>
      <c r="C3" s="3567"/>
      <c r="D3" s="3567"/>
      <c r="E3" s="3567"/>
      <c r="F3" s="3568"/>
      <c r="G3" s="3544" t="s">
        <v>590</v>
      </c>
      <c r="H3" s="3544"/>
      <c r="I3" s="3544"/>
      <c r="J3" s="3544"/>
      <c r="K3" s="3544"/>
      <c r="L3" s="3544"/>
      <c r="M3" s="3544"/>
      <c r="N3" s="3544"/>
      <c r="O3" s="3544"/>
      <c r="P3" s="3544"/>
      <c r="Q3" s="3544"/>
      <c r="R3" s="3544"/>
      <c r="S3" s="3544"/>
      <c r="T3" s="3544"/>
      <c r="U3" s="3544"/>
      <c r="V3" s="3544"/>
      <c r="W3" s="3544"/>
      <c r="X3" s="3544"/>
      <c r="Y3" s="3544"/>
      <c r="Z3" s="3544"/>
      <c r="AA3" s="3544"/>
      <c r="AB3" s="3544"/>
      <c r="AC3" s="3544"/>
      <c r="AD3" s="3544"/>
      <c r="AE3" s="3544"/>
      <c r="AF3" s="3544"/>
      <c r="AG3" s="3544"/>
      <c r="AH3" s="3544"/>
      <c r="AI3" s="3545"/>
    </row>
    <row r="4" spans="1:53" ht="12.95" customHeight="1">
      <c r="A4" s="3566"/>
      <c r="B4" s="3567"/>
      <c r="C4" s="3567"/>
      <c r="D4" s="3567"/>
      <c r="E4" s="3567"/>
      <c r="F4" s="3568"/>
      <c r="G4" s="3546" t="s">
        <v>200</v>
      </c>
      <c r="H4" s="3547"/>
      <c r="I4" s="3547"/>
      <c r="J4" s="3547"/>
      <c r="K4" s="3547"/>
      <c r="L4" s="3547"/>
      <c r="M4" s="3547"/>
      <c r="N4" s="3547"/>
      <c r="O4" s="3547"/>
      <c r="P4" s="3547"/>
      <c r="Q4" s="3547"/>
      <c r="R4" s="3547"/>
      <c r="S4" s="3547"/>
      <c r="T4" s="3547"/>
      <c r="U4" s="3547"/>
      <c r="V4" s="3547" t="s">
        <v>576</v>
      </c>
      <c r="W4" s="3547"/>
      <c r="X4" s="3547"/>
      <c r="Y4" s="3547"/>
      <c r="Z4" s="3547"/>
      <c r="AA4" s="3547"/>
      <c r="AB4" s="3547"/>
      <c r="AC4" s="3547"/>
      <c r="AD4" s="3547"/>
      <c r="AE4" s="3547"/>
      <c r="AF4" s="3547"/>
      <c r="AG4" s="3547"/>
      <c r="AH4" s="3547"/>
      <c r="AI4" s="3548"/>
    </row>
    <row r="5" spans="1:53" ht="12.95" customHeight="1">
      <c r="A5" s="3569"/>
      <c r="B5" s="3570"/>
      <c r="C5" s="3570"/>
      <c r="D5" s="3570"/>
      <c r="E5" s="3570"/>
      <c r="F5" s="3571"/>
      <c r="G5" s="3549" t="s">
        <v>638</v>
      </c>
      <c r="H5" s="3550"/>
      <c r="I5" s="3550"/>
      <c r="J5" s="3550"/>
      <c r="K5" s="3550"/>
      <c r="L5" s="3550"/>
      <c r="M5" s="3550"/>
      <c r="N5" s="3550"/>
      <c r="O5" s="3550"/>
      <c r="P5" s="3550"/>
      <c r="Q5" s="3550"/>
      <c r="R5" s="3550"/>
      <c r="S5" s="3550"/>
      <c r="T5" s="3550"/>
      <c r="U5" s="3550"/>
      <c r="V5" s="3550"/>
      <c r="W5" s="3550"/>
      <c r="X5" s="3550"/>
      <c r="Y5" s="3550"/>
      <c r="Z5" s="3550"/>
      <c r="AA5" s="3550"/>
      <c r="AB5" s="3550"/>
      <c r="AC5" s="3550"/>
      <c r="AD5" s="3550"/>
      <c r="AE5" s="3550"/>
      <c r="AF5" s="3550"/>
      <c r="AG5" s="3550"/>
      <c r="AH5" s="3550"/>
      <c r="AI5" s="3551"/>
    </row>
    <row r="6" spans="1:53" ht="15.95" customHeight="1">
      <c r="A6" s="3583" t="s">
        <v>5</v>
      </c>
      <c r="B6" s="3584"/>
      <c r="C6" s="3584"/>
      <c r="D6" s="3584"/>
      <c r="E6" s="3582" t="str">
        <f>IF('Gradacion '!E6="","",+'Gradacion '!E6)</f>
        <v/>
      </c>
      <c r="F6" s="3582"/>
      <c r="G6" s="3582"/>
      <c r="H6" s="3582"/>
      <c r="I6" s="3582"/>
      <c r="J6" s="3582"/>
      <c r="K6" s="3582"/>
      <c r="L6" s="3582"/>
      <c r="M6" s="3582"/>
      <c r="N6" s="3582"/>
      <c r="O6" s="3582"/>
      <c r="P6" s="3582"/>
      <c r="Q6" s="3582"/>
      <c r="R6" s="3582"/>
      <c r="S6" s="3582"/>
      <c r="T6" s="3582"/>
      <c r="U6" s="3582"/>
      <c r="V6" s="3574" t="s">
        <v>324</v>
      </c>
      <c r="W6" s="3574"/>
      <c r="X6" s="3574"/>
      <c r="Y6" s="3574"/>
      <c r="Z6" s="3574"/>
      <c r="AA6" s="3574"/>
      <c r="AB6" s="3574"/>
      <c r="AC6" s="3574"/>
      <c r="AD6" s="3572"/>
      <c r="AE6" s="3572"/>
      <c r="AF6" s="3572"/>
      <c r="AG6" s="3572"/>
      <c r="AH6" s="3572"/>
      <c r="AI6" s="3573"/>
    </row>
    <row r="7" spans="1:53" s="242" customFormat="1" ht="15.95" customHeight="1">
      <c r="A7" s="3481" t="s">
        <v>17</v>
      </c>
      <c r="B7" s="3482"/>
      <c r="C7" s="3482"/>
      <c r="D7" s="3482"/>
      <c r="E7" s="3219" t="str">
        <f>IF('Gradacion '!E7="","",+'Gradacion '!E7)</f>
        <v/>
      </c>
      <c r="F7" s="3219"/>
      <c r="G7" s="3219"/>
      <c r="H7" s="3219"/>
      <c r="I7" s="3586" t="s">
        <v>18</v>
      </c>
      <c r="J7" s="3586"/>
      <c r="K7" s="3586"/>
      <c r="L7" s="3586"/>
      <c r="M7" s="3219" t="str">
        <f>IF('Gradacion '!O7="","",'Gradacion '!O7)</f>
        <v/>
      </c>
      <c r="N7" s="3219"/>
      <c r="O7" s="3219"/>
      <c r="P7" s="3219"/>
      <c r="Q7" s="3219"/>
      <c r="R7" s="3219"/>
      <c r="S7" s="3219"/>
      <c r="T7" s="3219"/>
      <c r="U7" s="3219"/>
      <c r="V7" s="3218" t="s">
        <v>40</v>
      </c>
      <c r="W7" s="3218"/>
      <c r="X7" s="3218"/>
      <c r="Y7" s="3218"/>
      <c r="Z7" s="3218"/>
      <c r="AA7" s="3218"/>
      <c r="AB7" s="3218"/>
      <c r="AC7" s="3218"/>
      <c r="AD7" s="3238" t="str">
        <f>IF('Gradacion '!AB7="","",+'Gradacion '!AB7)</f>
        <v/>
      </c>
      <c r="AE7" s="3238"/>
      <c r="AF7" s="3238"/>
      <c r="AG7" s="3238"/>
      <c r="AH7" s="3238"/>
      <c r="AI7" s="3239"/>
    </row>
    <row r="8" spans="1:53" s="242" customFormat="1" ht="15.95" customHeight="1">
      <c r="A8" s="3481" t="s">
        <v>465</v>
      </c>
      <c r="B8" s="3482"/>
      <c r="C8" s="3482"/>
      <c r="D8" s="3482"/>
      <c r="E8" s="3219" t="str">
        <f>IF('Gradacion '!E8="","",+'Gradacion '!E8)</f>
        <v/>
      </c>
      <c r="F8" s="3219"/>
      <c r="G8" s="3219"/>
      <c r="H8" s="3219"/>
      <c r="I8" s="3589" t="s">
        <v>19</v>
      </c>
      <c r="J8" s="3589"/>
      <c r="K8" s="3589"/>
      <c r="L8" s="3589"/>
      <c r="M8" s="3219" t="str">
        <f>IF('Gradacion '!O8="","",'Gradacion '!O8)</f>
        <v/>
      </c>
      <c r="N8" s="3219"/>
      <c r="O8" s="3219"/>
      <c r="P8" s="3219"/>
      <c r="Q8" s="3219"/>
      <c r="R8" s="3219"/>
      <c r="S8" s="3219"/>
      <c r="T8" s="3219"/>
      <c r="U8" s="3219"/>
      <c r="V8" s="3218" t="s">
        <v>407</v>
      </c>
      <c r="W8" s="3218"/>
      <c r="X8" s="3218"/>
      <c r="Y8" s="3218"/>
      <c r="Z8" s="3218"/>
      <c r="AA8" s="3218"/>
      <c r="AB8" s="3218"/>
      <c r="AC8" s="3218"/>
      <c r="AD8" s="3215" t="str">
        <f>IF('Gradacion '!AB8="","",+'Gradacion '!AB8)</f>
        <v/>
      </c>
      <c r="AE8" s="3215"/>
      <c r="AF8" s="3215"/>
      <c r="AG8" s="3215"/>
      <c r="AH8" s="3215"/>
      <c r="AI8" s="3216"/>
      <c r="AJ8" s="243"/>
      <c r="AK8" s="243"/>
      <c r="AL8" s="243"/>
      <c r="AM8" s="243"/>
      <c r="AN8" s="243"/>
      <c r="AO8" s="243"/>
      <c r="AP8" s="243"/>
      <c r="AQ8" s="243"/>
      <c r="AR8" s="243"/>
      <c r="AS8" s="243"/>
      <c r="AT8" s="243"/>
      <c r="AU8" s="243"/>
      <c r="AV8" s="243"/>
      <c r="AW8" s="243"/>
      <c r="AX8" s="243"/>
      <c r="AY8" s="243"/>
      <c r="AZ8" s="243"/>
      <c r="BA8" s="244"/>
    </row>
    <row r="9" spans="1:53" s="242" customFormat="1" ht="15.95" customHeight="1">
      <c r="A9" s="3488" t="s">
        <v>6</v>
      </c>
      <c r="B9" s="3575"/>
      <c r="C9" s="3575"/>
      <c r="D9" s="3575"/>
      <c r="E9" s="3576" t="str">
        <f>IF('Gradacion '!E9="","",+'Gradacion '!E9)</f>
        <v/>
      </c>
      <c r="F9" s="3576"/>
      <c r="G9" s="3576"/>
      <c r="H9" s="3576"/>
      <c r="I9" s="3576"/>
      <c r="J9" s="3576"/>
      <c r="K9" s="3576"/>
      <c r="L9" s="3576"/>
      <c r="M9" s="3576"/>
      <c r="N9" s="3576"/>
      <c r="O9" s="3576"/>
      <c r="P9" s="3576"/>
      <c r="Q9" s="3576"/>
      <c r="R9" s="3576"/>
      <c r="S9" s="3576"/>
      <c r="T9" s="3576"/>
      <c r="U9" s="3576"/>
      <c r="V9" s="3585" t="s">
        <v>633</v>
      </c>
      <c r="W9" s="3585"/>
      <c r="X9" s="3585"/>
      <c r="Y9" s="3585"/>
      <c r="Z9" s="3585"/>
      <c r="AA9" s="3585"/>
      <c r="AB9" s="3585"/>
      <c r="AC9" s="3585"/>
      <c r="AD9" s="3238" t="str">
        <f>IF('Gradacion '!AB9="","",+'Gradacion '!AB9)</f>
        <v/>
      </c>
      <c r="AE9" s="3238"/>
      <c r="AF9" s="3238"/>
      <c r="AG9" s="3238"/>
      <c r="AH9" s="3238"/>
      <c r="AI9" s="3239"/>
    </row>
    <row r="10" spans="1:53" s="242" customFormat="1" ht="15" customHeight="1">
      <c r="A10" s="3679" t="s">
        <v>591</v>
      </c>
      <c r="B10" s="3680"/>
      <c r="C10" s="3680"/>
      <c r="D10" s="3680"/>
      <c r="E10" s="3680"/>
      <c r="F10" s="3680"/>
      <c r="G10" s="3680"/>
      <c r="H10" s="3680"/>
      <c r="I10" s="3680"/>
      <c r="J10" s="3680"/>
      <c r="K10" s="3680"/>
      <c r="L10" s="3680"/>
      <c r="M10" s="3680"/>
      <c r="N10" s="3680"/>
      <c r="O10" s="3680"/>
      <c r="P10" s="3680"/>
      <c r="Q10" s="3680"/>
      <c r="R10" s="3680"/>
      <c r="S10" s="3680"/>
      <c r="T10" s="3680"/>
      <c r="U10" s="3680"/>
      <c r="V10" s="3680"/>
      <c r="W10" s="3680"/>
      <c r="X10" s="3680"/>
      <c r="Y10" s="3680"/>
      <c r="Z10" s="3680"/>
      <c r="AA10" s="3680"/>
      <c r="AB10" s="3680"/>
      <c r="AC10" s="3680"/>
      <c r="AD10" s="3680"/>
      <c r="AE10" s="3680"/>
      <c r="AF10" s="3680"/>
      <c r="AG10" s="3680"/>
      <c r="AH10" s="3680"/>
      <c r="AI10" s="3681"/>
    </row>
    <row r="11" spans="1:53" ht="15" customHeight="1">
      <c r="A11" s="3562" t="s">
        <v>189</v>
      </c>
      <c r="B11" s="3554"/>
      <c r="C11" s="3554"/>
      <c r="D11" s="3554"/>
      <c r="E11" s="3554"/>
      <c r="F11" s="3554"/>
      <c r="G11" s="3554"/>
      <c r="H11" s="3554"/>
      <c r="I11" s="3554"/>
      <c r="J11" s="3554"/>
      <c r="K11" s="3554"/>
      <c r="L11" s="3554"/>
      <c r="M11" s="3554"/>
      <c r="N11" s="3554"/>
      <c r="O11" s="3554"/>
      <c r="P11" s="3554"/>
      <c r="Q11" s="3554"/>
      <c r="R11" s="3554"/>
      <c r="S11" s="3554"/>
      <c r="T11" s="3554"/>
      <c r="U11" s="3554"/>
      <c r="V11" s="3554"/>
      <c r="W11" s="3554"/>
      <c r="X11" s="3554"/>
      <c r="Y11" s="3554"/>
      <c r="Z11" s="3554"/>
      <c r="AA11" s="3554"/>
      <c r="AB11" s="3554"/>
      <c r="AC11" s="3554"/>
      <c r="AD11" s="3554"/>
      <c r="AE11" s="3554"/>
      <c r="AF11" s="3554"/>
      <c r="AG11" s="3554"/>
      <c r="AH11" s="3554"/>
      <c r="AI11" s="3555"/>
    </row>
    <row r="12" spans="1:53" ht="12.95" customHeight="1">
      <c r="A12" s="3521" t="s">
        <v>426</v>
      </c>
      <c r="B12" s="3522"/>
      <c r="C12" s="3522"/>
      <c r="D12" s="3522"/>
      <c r="E12" s="3525" t="s">
        <v>412</v>
      </c>
      <c r="F12" s="3526"/>
      <c r="G12" s="3526"/>
      <c r="H12" s="3526"/>
      <c r="I12" s="3525" t="s">
        <v>496</v>
      </c>
      <c r="J12" s="3526"/>
      <c r="K12" s="3526"/>
      <c r="L12" s="3526"/>
      <c r="M12" s="3526"/>
      <c r="N12" s="3526"/>
      <c r="O12" s="3526"/>
      <c r="P12" s="3526"/>
      <c r="Q12" s="3526"/>
      <c r="R12" s="3525" t="s">
        <v>497</v>
      </c>
      <c r="S12" s="3526"/>
      <c r="T12" s="3526"/>
      <c r="U12" s="3526"/>
      <c r="V12" s="3526"/>
      <c r="W12" s="3526"/>
      <c r="X12" s="3526"/>
      <c r="Y12" s="3526"/>
      <c r="Z12" s="3526"/>
      <c r="AA12" s="3526"/>
      <c r="AB12" s="3525" t="s">
        <v>413</v>
      </c>
      <c r="AC12" s="3526"/>
      <c r="AD12" s="3526"/>
      <c r="AE12" s="3526"/>
      <c r="AF12" s="3526"/>
      <c r="AG12" s="3526"/>
      <c r="AH12" s="3526"/>
      <c r="AI12" s="3556"/>
    </row>
    <row r="13" spans="1:53" ht="12.95" customHeight="1">
      <c r="A13" s="3523"/>
      <c r="B13" s="3524"/>
      <c r="C13" s="3524"/>
      <c r="D13" s="3524"/>
      <c r="E13" s="3557"/>
      <c r="F13" s="3558"/>
      <c r="G13" s="3558"/>
      <c r="H13" s="3558"/>
      <c r="I13" s="3518"/>
      <c r="J13" s="3519"/>
      <c r="K13" s="3519"/>
      <c r="L13" s="3519"/>
      <c r="M13" s="3519"/>
      <c r="N13" s="3519"/>
      <c r="O13" s="3519"/>
      <c r="P13" s="3519"/>
      <c r="Q13" s="3519"/>
      <c r="R13" s="3518"/>
      <c r="S13" s="3519"/>
      <c r="T13" s="3519"/>
      <c r="U13" s="3519"/>
      <c r="V13" s="3519"/>
      <c r="W13" s="3519"/>
      <c r="X13" s="3519"/>
      <c r="Y13" s="3519"/>
      <c r="Z13" s="3519"/>
      <c r="AA13" s="3519"/>
      <c r="AB13" s="3518"/>
      <c r="AC13" s="3519"/>
      <c r="AD13" s="3519"/>
      <c r="AE13" s="3519"/>
      <c r="AF13" s="3519"/>
      <c r="AG13" s="3519"/>
      <c r="AH13" s="3519"/>
      <c r="AI13" s="3520"/>
    </row>
    <row r="14" spans="1:53" ht="15" customHeight="1">
      <c r="A14" s="3587" t="s">
        <v>415</v>
      </c>
      <c r="B14" s="3588"/>
      <c r="C14" s="3588"/>
      <c r="D14" s="3588"/>
      <c r="E14" s="3588"/>
      <c r="F14" s="3588"/>
      <c r="G14" s="3588"/>
      <c r="H14" s="804" t="s">
        <v>95</v>
      </c>
      <c r="I14" s="3559" t="str">
        <f>+IF(I13="","",(I13/(I13+AB13))*100)</f>
        <v/>
      </c>
      <c r="J14" s="3560"/>
      <c r="K14" s="3560"/>
      <c r="L14" s="3560"/>
      <c r="M14" s="3560"/>
      <c r="N14" s="3560"/>
      <c r="O14" s="3560"/>
      <c r="P14" s="3560"/>
      <c r="Q14" s="3560"/>
      <c r="R14" s="3559" t="str">
        <f>+IF(R13="","",(R13/(R13+AB13))*100)</f>
        <v/>
      </c>
      <c r="S14" s="3560"/>
      <c r="T14" s="3560"/>
      <c r="U14" s="3560"/>
      <c r="V14" s="3560"/>
      <c r="W14" s="3560"/>
      <c r="X14" s="3560"/>
      <c r="Y14" s="3560"/>
      <c r="Z14" s="3560"/>
      <c r="AA14" s="3561"/>
      <c r="AB14" s="3529"/>
      <c r="AC14" s="3530"/>
      <c r="AD14" s="3530"/>
      <c r="AE14" s="3530"/>
      <c r="AF14" s="3530"/>
      <c r="AG14" s="3530"/>
      <c r="AH14" s="3530"/>
      <c r="AI14" s="3531"/>
      <c r="AJ14" s="246"/>
    </row>
    <row r="15" spans="1:53" ht="15" customHeight="1">
      <c r="A15" s="3552" t="s">
        <v>471</v>
      </c>
      <c r="B15" s="3553"/>
      <c r="C15" s="3553"/>
      <c r="D15" s="3553"/>
      <c r="E15" s="3553"/>
      <c r="F15" s="3553"/>
      <c r="G15" s="3553"/>
      <c r="H15" s="3553"/>
      <c r="I15" s="3554"/>
      <c r="J15" s="3554"/>
      <c r="K15" s="3554"/>
      <c r="L15" s="3554"/>
      <c r="M15" s="3554"/>
      <c r="N15" s="3554"/>
      <c r="O15" s="3554"/>
      <c r="P15" s="3554"/>
      <c r="Q15" s="3554"/>
      <c r="R15" s="3554"/>
      <c r="S15" s="3554"/>
      <c r="T15" s="3554"/>
      <c r="U15" s="3554"/>
      <c r="V15" s="3554"/>
      <c r="W15" s="3554"/>
      <c r="X15" s="3554"/>
      <c r="Y15" s="3554"/>
      <c r="Z15" s="3554"/>
      <c r="AA15" s="3554"/>
      <c r="AB15" s="3554"/>
      <c r="AC15" s="3554"/>
      <c r="AD15" s="3554"/>
      <c r="AE15" s="3554"/>
      <c r="AF15" s="3554"/>
      <c r="AG15" s="3554"/>
      <c r="AH15" s="3554"/>
      <c r="AI15" s="3555"/>
      <c r="AJ15" s="247"/>
    </row>
    <row r="16" spans="1:53" ht="12.95" customHeight="1">
      <c r="A16" s="3521" t="s">
        <v>426</v>
      </c>
      <c r="B16" s="3522"/>
      <c r="C16" s="3522"/>
      <c r="D16" s="3522"/>
      <c r="E16" s="3525" t="s">
        <v>412</v>
      </c>
      <c r="F16" s="3526"/>
      <c r="G16" s="3526"/>
      <c r="H16" s="3526"/>
      <c r="I16" s="3525" t="s">
        <v>496</v>
      </c>
      <c r="J16" s="3526"/>
      <c r="K16" s="3526"/>
      <c r="L16" s="3526"/>
      <c r="M16" s="3526"/>
      <c r="N16" s="3526"/>
      <c r="O16" s="3526"/>
      <c r="P16" s="3526"/>
      <c r="Q16" s="3526"/>
      <c r="R16" s="3525" t="s">
        <v>498</v>
      </c>
      <c r="S16" s="3526"/>
      <c r="T16" s="3526"/>
      <c r="U16" s="3526"/>
      <c r="V16" s="3526"/>
      <c r="W16" s="3526"/>
      <c r="X16" s="3526"/>
      <c r="Y16" s="3526"/>
      <c r="Z16" s="3526"/>
      <c r="AA16" s="3526"/>
      <c r="AB16" s="3525" t="s">
        <v>413</v>
      </c>
      <c r="AC16" s="3526"/>
      <c r="AD16" s="3526"/>
      <c r="AE16" s="3526"/>
      <c r="AF16" s="3526"/>
      <c r="AG16" s="3526"/>
      <c r="AH16" s="3526"/>
      <c r="AI16" s="3556"/>
      <c r="AJ16" s="247"/>
      <c r="AM16" s="248"/>
    </row>
    <row r="17" spans="1:83" ht="12.95" customHeight="1">
      <c r="A17" s="3523"/>
      <c r="B17" s="3524"/>
      <c r="C17" s="3524"/>
      <c r="D17" s="3524"/>
      <c r="E17" s="3557"/>
      <c r="F17" s="3558"/>
      <c r="G17" s="3558"/>
      <c r="H17" s="3558"/>
      <c r="I17" s="3518"/>
      <c r="J17" s="3519"/>
      <c r="K17" s="3519"/>
      <c r="L17" s="3519"/>
      <c r="M17" s="3519"/>
      <c r="N17" s="3519"/>
      <c r="O17" s="3519"/>
      <c r="P17" s="3519"/>
      <c r="Q17" s="3519"/>
      <c r="R17" s="3518"/>
      <c r="S17" s="3519"/>
      <c r="T17" s="3519"/>
      <c r="U17" s="3519"/>
      <c r="V17" s="3519"/>
      <c r="W17" s="3519"/>
      <c r="X17" s="3519"/>
      <c r="Y17" s="3519"/>
      <c r="Z17" s="3519"/>
      <c r="AA17" s="3519"/>
      <c r="AB17" s="3518"/>
      <c r="AC17" s="3519"/>
      <c r="AD17" s="3519"/>
      <c r="AE17" s="3519"/>
      <c r="AF17" s="3519"/>
      <c r="AG17" s="3519"/>
      <c r="AH17" s="3519"/>
      <c r="AI17" s="3520"/>
      <c r="AJ17" s="247"/>
    </row>
    <row r="18" spans="1:83" ht="15" customHeight="1">
      <c r="A18" s="3587" t="s">
        <v>414</v>
      </c>
      <c r="B18" s="3588"/>
      <c r="C18" s="3588"/>
      <c r="D18" s="3588"/>
      <c r="E18" s="3588"/>
      <c r="F18" s="3588"/>
      <c r="G18" s="3588"/>
      <c r="H18" s="245" t="s">
        <v>95</v>
      </c>
      <c r="I18" s="3527" t="str">
        <f>+IF(I17="","",(I17/(I17+AB17))*100)</f>
        <v/>
      </c>
      <c r="J18" s="3528"/>
      <c r="K18" s="3528"/>
      <c r="L18" s="3528"/>
      <c r="M18" s="3528"/>
      <c r="N18" s="3528"/>
      <c r="O18" s="3528"/>
      <c r="P18" s="3528"/>
      <c r="Q18" s="3528"/>
      <c r="R18" s="3527" t="str">
        <f>+IF(R17="","",(R17/(R17+AB17))*100)</f>
        <v/>
      </c>
      <c r="S18" s="3528"/>
      <c r="T18" s="3528"/>
      <c r="U18" s="3528"/>
      <c r="V18" s="3528"/>
      <c r="W18" s="3528"/>
      <c r="X18" s="3528"/>
      <c r="Y18" s="3528"/>
      <c r="Z18" s="3528"/>
      <c r="AA18" s="3528"/>
      <c r="AB18" s="3529"/>
      <c r="AC18" s="3530"/>
      <c r="AD18" s="3530"/>
      <c r="AE18" s="3530"/>
      <c r="AF18" s="3530"/>
      <c r="AG18" s="3530"/>
      <c r="AH18" s="3530"/>
      <c r="AI18" s="3531"/>
    </row>
    <row r="19" spans="1:83" ht="12.95" customHeight="1">
      <c r="A19" s="3577" t="s">
        <v>201</v>
      </c>
      <c r="B19" s="3526"/>
      <c r="C19" s="3526"/>
      <c r="D19" s="3526"/>
      <c r="E19" s="3526"/>
      <c r="F19" s="3526"/>
      <c r="G19" s="3526"/>
      <c r="H19" s="3578"/>
      <c r="I19" s="3691" t="s">
        <v>427</v>
      </c>
      <c r="J19" s="3692"/>
      <c r="K19" s="3692"/>
      <c r="L19" s="3692"/>
      <c r="M19" s="3692"/>
      <c r="N19" s="3692"/>
      <c r="O19" s="3692"/>
      <c r="P19" s="3692"/>
      <c r="Q19" s="3693"/>
      <c r="R19" s="3685" t="s">
        <v>428</v>
      </c>
      <c r="S19" s="3686"/>
      <c r="T19" s="3686"/>
      <c r="U19" s="3686"/>
      <c r="V19" s="3686"/>
      <c r="W19" s="3686"/>
      <c r="X19" s="3686"/>
      <c r="Y19" s="3686"/>
      <c r="Z19" s="3686"/>
      <c r="AA19" s="3687"/>
      <c r="AB19" s="3525" t="s">
        <v>41</v>
      </c>
      <c r="AC19" s="3526"/>
      <c r="AD19" s="3526"/>
      <c r="AE19" s="3526"/>
      <c r="AF19" s="3526"/>
      <c r="AG19" s="3526"/>
      <c r="AH19" s="3526"/>
      <c r="AI19" s="3556"/>
    </row>
    <row r="20" spans="1:83" ht="12.95" customHeight="1">
      <c r="A20" s="3579" t="s">
        <v>416</v>
      </c>
      <c r="B20" s="3580"/>
      <c r="C20" s="3580"/>
      <c r="D20" s="3580"/>
      <c r="E20" s="3580"/>
      <c r="F20" s="3580"/>
      <c r="G20" s="3580"/>
      <c r="H20" s="3581"/>
      <c r="I20" s="3688" t="str">
        <f>+IF(I14="","",IF(I18="","",AVERAGE(I18,I14)))</f>
        <v/>
      </c>
      <c r="J20" s="3689"/>
      <c r="K20" s="3689"/>
      <c r="L20" s="3689"/>
      <c r="M20" s="3689"/>
      <c r="N20" s="3689"/>
      <c r="O20" s="3689"/>
      <c r="P20" s="3689"/>
      <c r="Q20" s="3690"/>
      <c r="R20" s="3688" t="str">
        <f>+IF(R14="","",IF(R18="","",AVERAGE(R18,R14)))</f>
        <v/>
      </c>
      <c r="S20" s="3689"/>
      <c r="T20" s="3689"/>
      <c r="U20" s="3689"/>
      <c r="V20" s="3689"/>
      <c r="W20" s="3689"/>
      <c r="X20" s="3689"/>
      <c r="Y20" s="3689"/>
      <c r="Z20" s="3689"/>
      <c r="AA20" s="3690"/>
      <c r="AB20" s="3682"/>
      <c r="AC20" s="3683"/>
      <c r="AD20" s="3683"/>
      <c r="AE20" s="3683"/>
      <c r="AF20" s="3683"/>
      <c r="AG20" s="3683"/>
      <c r="AH20" s="3683"/>
      <c r="AI20" s="3684"/>
      <c r="AJ20" s="3625"/>
      <c r="AK20" s="3625"/>
      <c r="AL20" s="3625"/>
      <c r="AM20" s="3625"/>
      <c r="AN20" s="3625"/>
      <c r="AO20" s="3625"/>
      <c r="AP20" s="3625"/>
      <c r="BO20" s="3676"/>
      <c r="BP20" s="3677"/>
      <c r="BQ20" s="3677"/>
      <c r="BR20" s="3677"/>
      <c r="BS20" s="3677"/>
      <c r="BT20" s="3677"/>
      <c r="BU20" s="3677"/>
      <c r="BV20" s="3677"/>
      <c r="BW20" s="3677"/>
      <c r="BX20" s="3677"/>
      <c r="BY20" s="3677"/>
      <c r="BZ20" s="3677"/>
      <c r="CA20" s="3677"/>
      <c r="CB20" s="3677"/>
      <c r="CC20" s="3677"/>
      <c r="CD20" s="3677"/>
      <c r="CE20" s="3678"/>
    </row>
    <row r="21" spans="1:83" ht="15" customHeight="1">
      <c r="A21" s="3697" t="s">
        <v>468</v>
      </c>
      <c r="B21" s="3698"/>
      <c r="C21" s="3698"/>
      <c r="D21" s="3698"/>
      <c r="E21" s="3698"/>
      <c r="F21" s="3698"/>
      <c r="G21" s="3698"/>
      <c r="H21" s="3698"/>
      <c r="I21" s="3698"/>
      <c r="J21" s="3698"/>
      <c r="K21" s="3698"/>
      <c r="L21" s="3698"/>
      <c r="M21" s="3698"/>
      <c r="N21" s="3698"/>
      <c r="O21" s="3698"/>
      <c r="P21" s="3698"/>
      <c r="Q21" s="3699"/>
      <c r="R21" s="3633"/>
      <c r="S21" s="3634"/>
      <c r="T21" s="3634"/>
      <c r="U21" s="3634"/>
      <c r="V21" s="3634"/>
      <c r="W21" s="3634"/>
      <c r="X21" s="3634"/>
      <c r="Y21" s="3634"/>
      <c r="Z21" s="3634"/>
      <c r="AA21" s="3634"/>
      <c r="AB21" s="3634"/>
      <c r="AC21" s="3634"/>
      <c r="AD21" s="3634"/>
      <c r="AE21" s="3634"/>
      <c r="AF21" s="3634"/>
      <c r="AG21" s="3634"/>
      <c r="AH21" s="3634"/>
      <c r="AI21" s="3635"/>
      <c r="AJ21" s="249"/>
      <c r="AK21" s="249"/>
      <c r="AL21" s="249"/>
      <c r="AM21" s="249"/>
      <c r="AN21" s="249"/>
      <c r="AO21" s="249"/>
      <c r="AP21" s="249"/>
      <c r="AR21" s="3630" t="s">
        <v>466</v>
      </c>
      <c r="AS21" s="3631"/>
      <c r="AT21" s="3631"/>
      <c r="AU21" s="3631"/>
      <c r="AV21" s="3631"/>
      <c r="AW21" s="3631"/>
      <c r="AX21" s="3631"/>
      <c r="AY21" s="3631"/>
      <c r="AZ21" s="3631"/>
      <c r="BA21" s="3631"/>
      <c r="BB21" s="3631"/>
      <c r="BC21" s="3631"/>
      <c r="BD21" s="3631"/>
      <c r="BE21" s="3631"/>
      <c r="BF21" s="3631"/>
      <c r="BG21" s="3631"/>
      <c r="BH21" s="3632"/>
    </row>
    <row r="22" spans="1:83" ht="15.75" customHeight="1">
      <c r="A22" s="3700" t="s">
        <v>469</v>
      </c>
      <c r="B22" s="3701"/>
      <c r="C22" s="3701"/>
      <c r="D22" s="3701"/>
      <c r="E22" s="3701"/>
      <c r="F22" s="3701"/>
      <c r="G22" s="3701"/>
      <c r="H22" s="3701"/>
      <c r="I22" s="3701"/>
      <c r="J22" s="3701"/>
      <c r="K22" s="3701"/>
      <c r="L22" s="3701"/>
      <c r="M22" s="3701"/>
      <c r="N22" s="3701"/>
      <c r="O22" s="3701"/>
      <c r="P22" s="3701"/>
      <c r="Q22" s="3702"/>
      <c r="R22" s="3694"/>
      <c r="S22" s="3695"/>
      <c r="T22" s="3695"/>
      <c r="U22" s="3695"/>
      <c r="V22" s="3695"/>
      <c r="W22" s="3695"/>
      <c r="X22" s="3695"/>
      <c r="Y22" s="3695"/>
      <c r="Z22" s="3695"/>
      <c r="AA22" s="3695"/>
      <c r="AB22" s="3695"/>
      <c r="AC22" s="3695"/>
      <c r="AD22" s="3695"/>
      <c r="AE22" s="3695"/>
      <c r="AF22" s="3695"/>
      <c r="AG22" s="3695"/>
      <c r="AH22" s="3695"/>
      <c r="AI22" s="3696"/>
      <c r="AR22" s="250" t="s">
        <v>202</v>
      </c>
      <c r="AS22" s="251"/>
      <c r="AT22" s="251"/>
      <c r="AU22" s="251"/>
      <c r="AV22" s="251"/>
      <c r="AW22" s="251"/>
      <c r="AX22" s="251"/>
    </row>
    <row r="23" spans="1:83" ht="15.95" customHeight="1">
      <c r="A23" s="3703" t="s">
        <v>592</v>
      </c>
      <c r="B23" s="3704"/>
      <c r="C23" s="3704"/>
      <c r="D23" s="3704"/>
      <c r="E23" s="3704"/>
      <c r="F23" s="3704"/>
      <c r="G23" s="3704"/>
      <c r="H23" s="3704"/>
      <c r="I23" s="3704"/>
      <c r="J23" s="3704"/>
      <c r="K23" s="3704"/>
      <c r="L23" s="3704"/>
      <c r="M23" s="3704"/>
      <c r="N23" s="3704"/>
      <c r="O23" s="3704"/>
      <c r="P23" s="3704"/>
      <c r="Q23" s="3704"/>
      <c r="R23" s="3704"/>
      <c r="S23" s="3704"/>
      <c r="T23" s="3704"/>
      <c r="U23" s="3704"/>
      <c r="V23" s="3704"/>
      <c r="W23" s="3704"/>
      <c r="X23" s="3704"/>
      <c r="Y23" s="3704"/>
      <c r="Z23" s="3704"/>
      <c r="AA23" s="3704"/>
      <c r="AB23" s="3704"/>
      <c r="AC23" s="3704"/>
      <c r="AD23" s="3704"/>
      <c r="AE23" s="3704"/>
      <c r="AF23" s="3704"/>
      <c r="AG23" s="3704"/>
      <c r="AH23" s="3704"/>
      <c r="AI23" s="3705"/>
      <c r="AJ23" s="3646"/>
      <c r="AK23" s="3646"/>
      <c r="AL23" s="3646"/>
      <c r="AM23" s="3646"/>
      <c r="AN23" s="3646"/>
      <c r="AR23" s="250" t="s">
        <v>203</v>
      </c>
      <c r="AS23" s="251"/>
      <c r="AT23" s="251"/>
      <c r="AU23" s="251"/>
    </row>
    <row r="24" spans="1:83" ht="15" customHeight="1">
      <c r="A24" s="3711" t="s">
        <v>519</v>
      </c>
      <c r="B24" s="3664"/>
      <c r="C24" s="3664"/>
      <c r="D24" s="3664"/>
      <c r="E24" s="3664"/>
      <c r="F24" s="3664"/>
      <c r="G24" s="3664"/>
      <c r="H24" s="252"/>
      <c r="I24" s="43" t="s">
        <v>91</v>
      </c>
      <c r="J24" s="3533" t="str">
        <f>+'Gradacion '!Y11</f>
        <v/>
      </c>
      <c r="K24" s="3533"/>
      <c r="L24" s="3533"/>
      <c r="M24" s="3533"/>
      <c r="N24" s="255"/>
      <c r="O24" s="3664" t="s">
        <v>206</v>
      </c>
      <c r="P24" s="3664"/>
      <c r="Q24" s="3664"/>
      <c r="R24" s="3664"/>
      <c r="S24" s="3664"/>
      <c r="T24" s="3664"/>
      <c r="U24" s="3664"/>
      <c r="V24" s="3664"/>
      <c r="W24" s="3664"/>
      <c r="X24" s="3664"/>
      <c r="Y24" s="3664"/>
      <c r="Z24" s="3664"/>
      <c r="AA24" s="3664"/>
      <c r="AB24" s="3664"/>
      <c r="AC24" s="3664"/>
      <c r="AD24" s="3662" t="s">
        <v>91</v>
      </c>
      <c r="AE24" s="3662"/>
      <c r="AF24" s="3706" t="str">
        <f>+'Gradacion '!I14</f>
        <v/>
      </c>
      <c r="AG24" s="3707"/>
      <c r="AH24" s="3707"/>
      <c r="AI24" s="3708"/>
      <c r="AJ24" s="247"/>
    </row>
    <row r="25" spans="1:83" ht="15" customHeight="1">
      <c r="A25" s="3712" t="s">
        <v>520</v>
      </c>
      <c r="B25" s="3665"/>
      <c r="C25" s="3665"/>
      <c r="D25" s="3665"/>
      <c r="E25" s="3665"/>
      <c r="F25" s="3665"/>
      <c r="G25" s="3665"/>
      <c r="H25" s="3665"/>
      <c r="I25" s="45" t="s">
        <v>91</v>
      </c>
      <c r="J25" s="3663">
        <f>+H37</f>
        <v>0</v>
      </c>
      <c r="K25" s="3663"/>
      <c r="L25" s="3663"/>
      <c r="M25" s="3663"/>
      <c r="N25" s="255"/>
      <c r="O25" s="3665" t="s">
        <v>470</v>
      </c>
      <c r="P25" s="3665"/>
      <c r="Q25" s="3665"/>
      <c r="R25" s="3665"/>
      <c r="S25" s="3665"/>
      <c r="T25" s="3665"/>
      <c r="U25" s="3665"/>
      <c r="V25" s="3665"/>
      <c r="W25" s="3665"/>
      <c r="X25" s="3665"/>
      <c r="Y25" s="3665"/>
      <c r="Z25" s="3665"/>
      <c r="AA25" s="3665"/>
      <c r="AB25" s="3665"/>
      <c r="AC25" s="3665"/>
      <c r="AD25" s="3662" t="s">
        <v>91</v>
      </c>
      <c r="AE25" s="3662"/>
      <c r="AF25" s="3709" t="str">
        <f>+'Gradacion '!I22</f>
        <v/>
      </c>
      <c r="AG25" s="3709"/>
      <c r="AH25" s="3709"/>
      <c r="AI25" s="3710"/>
      <c r="AJ25" s="247"/>
    </row>
    <row r="26" spans="1:83" ht="15" customHeight="1">
      <c r="A26" s="3713"/>
      <c r="B26" s="3714"/>
      <c r="C26" s="3714"/>
      <c r="D26" s="3714"/>
      <c r="E26" s="3714"/>
      <c r="F26" s="3714"/>
      <c r="G26" s="3714"/>
      <c r="H26" s="3714"/>
      <c r="I26" s="895"/>
      <c r="J26" s="896"/>
      <c r="K26" s="896"/>
      <c r="L26" s="896"/>
      <c r="M26" s="896"/>
      <c r="N26" s="897"/>
      <c r="O26" s="3532" t="s">
        <v>207</v>
      </c>
      <c r="P26" s="3532"/>
      <c r="Q26" s="3532"/>
      <c r="R26" s="3532"/>
      <c r="S26" s="3532"/>
      <c r="T26" s="3532"/>
      <c r="U26" s="3532"/>
      <c r="V26" s="3532"/>
      <c r="W26" s="3532"/>
      <c r="X26" s="3532"/>
      <c r="Y26" s="3532"/>
      <c r="Z26" s="3532"/>
      <c r="AA26" s="3532"/>
      <c r="AB26" s="3532"/>
      <c r="AC26" s="3532"/>
      <c r="AD26" s="3662" t="s">
        <v>91</v>
      </c>
      <c r="AE26" s="3662"/>
      <c r="AF26" s="3626">
        <f>SUM(AF24:AI25)</f>
        <v>0</v>
      </c>
      <c r="AG26" s="3626"/>
      <c r="AH26" s="3626"/>
      <c r="AI26" s="3627"/>
      <c r="AJ26" s="247"/>
    </row>
    <row r="27" spans="1:83" ht="12.95" customHeight="1">
      <c r="A27" s="3647" t="s">
        <v>408</v>
      </c>
      <c r="B27" s="3648"/>
      <c r="C27" s="3648"/>
      <c r="D27" s="3648"/>
      <c r="E27" s="3648"/>
      <c r="F27" s="3648"/>
      <c r="G27" s="3648"/>
      <c r="H27" s="3648"/>
      <c r="I27" s="3649"/>
      <c r="J27" s="3628" t="s">
        <v>190</v>
      </c>
      <c r="K27" s="3553"/>
      <c r="L27" s="3553"/>
      <c r="M27" s="3553"/>
      <c r="N27" s="3553"/>
      <c r="O27" s="3553"/>
      <c r="P27" s="3553"/>
      <c r="Q27" s="3553"/>
      <c r="R27" s="3553"/>
      <c r="S27" s="3553"/>
      <c r="T27" s="3553"/>
      <c r="U27" s="3553"/>
      <c r="V27" s="3553"/>
      <c r="W27" s="3628" t="s">
        <v>191</v>
      </c>
      <c r="X27" s="3553"/>
      <c r="Y27" s="3553"/>
      <c r="Z27" s="3553"/>
      <c r="AA27" s="3553"/>
      <c r="AB27" s="3553"/>
      <c r="AC27" s="3553"/>
      <c r="AD27" s="3553"/>
      <c r="AE27" s="3553"/>
      <c r="AF27" s="3553"/>
      <c r="AG27" s="3553"/>
      <c r="AH27" s="3553"/>
      <c r="AI27" s="3629"/>
    </row>
    <row r="28" spans="1:83" ht="20.25" customHeight="1">
      <c r="A28" s="3644" t="s">
        <v>409</v>
      </c>
      <c r="B28" s="3535"/>
      <c r="C28" s="3535"/>
      <c r="D28" s="3535"/>
      <c r="E28" s="3535" t="s">
        <v>411</v>
      </c>
      <c r="F28" s="3535"/>
      <c r="G28" s="3535" t="s">
        <v>410</v>
      </c>
      <c r="H28" s="3658" t="s">
        <v>391</v>
      </c>
      <c r="I28" s="3659"/>
      <c r="J28" s="3534" t="s">
        <v>392</v>
      </c>
      <c r="K28" s="3535"/>
      <c r="L28" s="3535"/>
      <c r="M28" s="3535"/>
      <c r="N28" s="3535"/>
      <c r="O28" s="3535"/>
      <c r="P28" s="3535" t="s">
        <v>364</v>
      </c>
      <c r="Q28" s="3535"/>
      <c r="R28" s="3535"/>
      <c r="S28" s="3535"/>
      <c r="T28" s="3535"/>
      <c r="U28" s="3535"/>
      <c r="V28" s="3535"/>
      <c r="W28" s="3534" t="s">
        <v>494</v>
      </c>
      <c r="X28" s="3535"/>
      <c r="Y28" s="3535"/>
      <c r="Z28" s="3535"/>
      <c r="AA28" s="3535"/>
      <c r="AB28" s="3535"/>
      <c r="AC28" s="3535" t="s">
        <v>365</v>
      </c>
      <c r="AD28" s="3535"/>
      <c r="AE28" s="3535"/>
      <c r="AF28" s="3535"/>
      <c r="AG28" s="3535"/>
      <c r="AH28" s="3535"/>
      <c r="AI28" s="3538"/>
      <c r="AT28" s="3676" t="s">
        <v>467</v>
      </c>
      <c r="AU28" s="3677"/>
      <c r="AV28" s="3677"/>
      <c r="AW28" s="3677"/>
      <c r="AX28" s="3677"/>
      <c r="AY28" s="3677"/>
      <c r="AZ28" s="3677"/>
      <c r="BA28" s="3677"/>
      <c r="BB28" s="3677"/>
      <c r="BC28" s="3677"/>
      <c r="BD28" s="3677"/>
      <c r="BE28" s="3677"/>
      <c r="BF28" s="3677"/>
      <c r="BG28" s="3677"/>
      <c r="BH28" s="3677"/>
      <c r="BI28" s="3677"/>
      <c r="BJ28" s="3678"/>
    </row>
    <row r="29" spans="1:83" ht="26.25" customHeight="1">
      <c r="A29" s="3645"/>
      <c r="B29" s="3537"/>
      <c r="C29" s="3537"/>
      <c r="D29" s="3537"/>
      <c r="E29" s="3537"/>
      <c r="F29" s="3537"/>
      <c r="G29" s="3537"/>
      <c r="H29" s="3660"/>
      <c r="I29" s="3661"/>
      <c r="J29" s="3536"/>
      <c r="K29" s="3537"/>
      <c r="L29" s="3537"/>
      <c r="M29" s="3537"/>
      <c r="N29" s="3537"/>
      <c r="O29" s="3537"/>
      <c r="P29" s="3537"/>
      <c r="Q29" s="3537"/>
      <c r="R29" s="3537"/>
      <c r="S29" s="3537"/>
      <c r="T29" s="3537"/>
      <c r="U29" s="3537"/>
      <c r="V29" s="3537"/>
      <c r="W29" s="3536"/>
      <c r="X29" s="3537"/>
      <c r="Y29" s="3537"/>
      <c r="Z29" s="3537"/>
      <c r="AA29" s="3537"/>
      <c r="AB29" s="3537"/>
      <c r="AC29" s="3537"/>
      <c r="AD29" s="3537"/>
      <c r="AE29" s="3537"/>
      <c r="AF29" s="3537"/>
      <c r="AG29" s="3537"/>
      <c r="AH29" s="3537"/>
      <c r="AI29" s="3539"/>
      <c r="AT29" s="250" t="s">
        <v>204</v>
      </c>
      <c r="AU29" s="251"/>
      <c r="AV29" s="251"/>
      <c r="AW29" s="251"/>
      <c r="AX29" s="251"/>
      <c r="AY29" s="251"/>
      <c r="AZ29" s="251"/>
    </row>
    <row r="30" spans="1:83" ht="14.1" customHeight="1">
      <c r="A30" s="3636" t="s">
        <v>192</v>
      </c>
      <c r="B30" s="3637"/>
      <c r="C30" s="3637"/>
      <c r="D30" s="3638"/>
      <c r="E30" s="3502" t="str">
        <f>IFERROR(AK30,"")</f>
        <v/>
      </c>
      <c r="F30" s="3503"/>
      <c r="G30" s="264" t="str">
        <f>+IFERROR(AM30,"")</f>
        <v/>
      </c>
      <c r="H30" s="3594" t="str">
        <f>IF(E30="","",IF(G30=0,0,IF(G30&lt;(0.05*100),$J$24-E30,0)))</f>
        <v/>
      </c>
      <c r="I30" s="3595"/>
      <c r="J30" s="3639"/>
      <c r="K30" s="3640"/>
      <c r="L30" s="3640"/>
      <c r="M30" s="3640"/>
      <c r="N30" s="3640"/>
      <c r="O30" s="3641"/>
      <c r="P30" s="3591" t="str">
        <f>+IF(J30="","",(J30*100/E30))</f>
        <v/>
      </c>
      <c r="Q30" s="3507"/>
      <c r="R30" s="3507"/>
      <c r="S30" s="3507"/>
      <c r="T30" s="3507"/>
      <c r="U30" s="3507"/>
      <c r="V30" s="3592"/>
      <c r="W30" s="3642"/>
      <c r="X30" s="3625"/>
      <c r="Y30" s="3625"/>
      <c r="Z30" s="3625"/>
      <c r="AA30" s="3625"/>
      <c r="AB30" s="3643"/>
      <c r="AC30" s="3591" t="str">
        <f>+IF(W30="","",(100*W30/E30))</f>
        <v/>
      </c>
      <c r="AD30" s="3507"/>
      <c r="AE30" s="3507"/>
      <c r="AF30" s="3507"/>
      <c r="AG30" s="3507"/>
      <c r="AH30" s="3507"/>
      <c r="AI30" s="3592"/>
      <c r="AJ30" s="1021" t="s">
        <v>358</v>
      </c>
      <c r="AK30" s="3507" t="str">
        <f>IF('Gradacion '!$R$10="","",VLOOKUP(AJ30,'Gradacion '!$E$14:$X$24,5,0))</f>
        <v/>
      </c>
      <c r="AL30" s="3508"/>
      <c r="AM30" s="3507" t="str">
        <f>IF('Gradacion '!$R$10="","",VLOOKUP(AJ30,'Gradacion '!$E$14:$X$24,13,0))</f>
        <v/>
      </c>
      <c r="AN30" s="3508"/>
      <c r="AT30" s="253" t="s">
        <v>205</v>
      </c>
      <c r="AU30" s="254"/>
      <c r="AV30" s="254"/>
      <c r="AW30" s="254"/>
    </row>
    <row r="31" spans="1:83" ht="14.1" customHeight="1">
      <c r="A31" s="3515" t="s">
        <v>193</v>
      </c>
      <c r="B31" s="3516"/>
      <c r="C31" s="3516"/>
      <c r="D31" s="3517"/>
      <c r="E31" s="3504" t="str">
        <f t="shared" ref="E31:E36" si="0">IFERROR(AK31,"")</f>
        <v/>
      </c>
      <c r="F31" s="3504"/>
      <c r="G31" s="264" t="str">
        <f t="shared" ref="G31:G36" si="1">+IFERROR(AM31,"")</f>
        <v/>
      </c>
      <c r="H31" s="3594" t="str">
        <f t="shared" ref="H31:H36" si="2">IF(E31="","",IF(G31=0,0,IF(G31&lt;(0.05*100),$J$24-E31,0)))</f>
        <v/>
      </c>
      <c r="I31" s="3595"/>
      <c r="J31" s="3603"/>
      <c r="K31" s="3604"/>
      <c r="L31" s="3604"/>
      <c r="M31" s="3604"/>
      <c r="N31" s="3604"/>
      <c r="O31" s="3605"/>
      <c r="P31" s="3591" t="str">
        <f t="shared" ref="P31:P36" si="3">+IF(J31="","",(J31*100/E31))</f>
        <v/>
      </c>
      <c r="Q31" s="3507"/>
      <c r="R31" s="3507"/>
      <c r="S31" s="3507"/>
      <c r="T31" s="3507"/>
      <c r="U31" s="3507"/>
      <c r="V31" s="3592"/>
      <c r="W31" s="3606"/>
      <c r="X31" s="3607"/>
      <c r="Y31" s="3607"/>
      <c r="Z31" s="3607"/>
      <c r="AA31" s="3607"/>
      <c r="AB31" s="3608"/>
      <c r="AC31" s="3591" t="str">
        <f t="shared" ref="AC31:AC36" si="4">+IF(W31="","",(100*W31/E31))</f>
        <v/>
      </c>
      <c r="AD31" s="3507"/>
      <c r="AE31" s="3507"/>
      <c r="AF31" s="3507"/>
      <c r="AG31" s="3507"/>
      <c r="AH31" s="3507"/>
      <c r="AI31" s="3592"/>
      <c r="AJ31" s="1021" t="s">
        <v>359</v>
      </c>
      <c r="AK31" s="3507" t="str">
        <f>IF('Gradacion '!$R$10="","",VLOOKUP(AJ31,'Gradacion '!$E$14:$X$24,5,0))</f>
        <v/>
      </c>
      <c r="AL31" s="3508"/>
      <c r="AM31" s="3507" t="str">
        <f>IF('Gradacion '!$R$10="","",VLOOKUP(AJ31,'Gradacion '!$E$14:$X$24,13,0))</f>
        <v/>
      </c>
      <c r="AN31" s="3508"/>
    </row>
    <row r="32" spans="1:83" ht="14.1" customHeight="1">
      <c r="A32" s="3515" t="s">
        <v>194</v>
      </c>
      <c r="B32" s="3516"/>
      <c r="C32" s="3516"/>
      <c r="D32" s="3517"/>
      <c r="E32" s="3504" t="str">
        <f t="shared" si="0"/>
        <v/>
      </c>
      <c r="F32" s="3504"/>
      <c r="G32" s="264" t="str">
        <f t="shared" si="1"/>
        <v/>
      </c>
      <c r="H32" s="3594" t="str">
        <f t="shared" si="2"/>
        <v/>
      </c>
      <c r="I32" s="3595"/>
      <c r="J32" s="3603"/>
      <c r="K32" s="3604"/>
      <c r="L32" s="3604"/>
      <c r="M32" s="3604"/>
      <c r="N32" s="3604"/>
      <c r="O32" s="3605"/>
      <c r="P32" s="3591" t="str">
        <f t="shared" si="3"/>
        <v/>
      </c>
      <c r="Q32" s="3507"/>
      <c r="R32" s="3507"/>
      <c r="S32" s="3507"/>
      <c r="T32" s="3507"/>
      <c r="U32" s="3507"/>
      <c r="V32" s="3592"/>
      <c r="W32" s="3606"/>
      <c r="X32" s="3607"/>
      <c r="Y32" s="3607"/>
      <c r="Z32" s="3607"/>
      <c r="AA32" s="3607"/>
      <c r="AB32" s="3608"/>
      <c r="AC32" s="3591" t="str">
        <f t="shared" si="4"/>
        <v/>
      </c>
      <c r="AD32" s="3507"/>
      <c r="AE32" s="3507"/>
      <c r="AF32" s="3507"/>
      <c r="AG32" s="3507"/>
      <c r="AH32" s="3507"/>
      <c r="AI32" s="3592"/>
      <c r="AJ32" s="1021" t="s">
        <v>59</v>
      </c>
      <c r="AK32" s="3507" t="str">
        <f>IF('Gradacion '!$R$10="","",VLOOKUP(AJ32,'Gradacion '!$E$14:$X$24,5,0))</f>
        <v/>
      </c>
      <c r="AL32" s="3508"/>
      <c r="AM32" s="3507" t="str">
        <f>IF('Gradacion '!$R$10="","",VLOOKUP(AJ32,'Gradacion '!$E$14:$X$24,13,0))</f>
        <v/>
      </c>
      <c r="AN32" s="3508"/>
      <c r="AO32" s="255"/>
      <c r="AP32" s="255"/>
    </row>
    <row r="33" spans="1:52" ht="14.1" customHeight="1">
      <c r="A33" s="3515" t="s">
        <v>195</v>
      </c>
      <c r="B33" s="3516"/>
      <c r="C33" s="3516"/>
      <c r="D33" s="3516"/>
      <c r="E33" s="3504" t="str">
        <f t="shared" si="0"/>
        <v/>
      </c>
      <c r="F33" s="3504"/>
      <c r="G33" s="264" t="str">
        <f t="shared" si="1"/>
        <v/>
      </c>
      <c r="H33" s="3594" t="str">
        <f t="shared" si="2"/>
        <v/>
      </c>
      <c r="I33" s="3595"/>
      <c r="J33" s="3603"/>
      <c r="K33" s="3604"/>
      <c r="L33" s="3604"/>
      <c r="M33" s="3604"/>
      <c r="N33" s="3604"/>
      <c r="O33" s="3605"/>
      <c r="P33" s="3591" t="str">
        <f t="shared" si="3"/>
        <v/>
      </c>
      <c r="Q33" s="3507"/>
      <c r="R33" s="3507"/>
      <c r="S33" s="3507"/>
      <c r="T33" s="3507"/>
      <c r="U33" s="3507"/>
      <c r="V33" s="3592"/>
      <c r="W33" s="3606"/>
      <c r="X33" s="3607"/>
      <c r="Y33" s="3607"/>
      <c r="Z33" s="3607"/>
      <c r="AA33" s="3607"/>
      <c r="AB33" s="3608"/>
      <c r="AC33" s="3591" t="str">
        <f t="shared" si="4"/>
        <v/>
      </c>
      <c r="AD33" s="3507"/>
      <c r="AE33" s="3507"/>
      <c r="AF33" s="3507"/>
      <c r="AG33" s="3507"/>
      <c r="AH33" s="3507"/>
      <c r="AI33" s="3592"/>
      <c r="AJ33" s="1021" t="s">
        <v>61</v>
      </c>
      <c r="AK33" s="3507" t="str">
        <f>IF('Gradacion '!$R$10="","",VLOOKUP(AJ33,'Gradacion '!$E$14:$X$24,5,0))</f>
        <v/>
      </c>
      <c r="AL33" s="3508"/>
      <c r="AM33" s="3507" t="str">
        <f>IF('Gradacion '!$R$10="","",VLOOKUP(AJ33,'Gradacion '!$E$14:$X$24,13,0))</f>
        <v/>
      </c>
      <c r="AN33" s="3508"/>
      <c r="AO33" s="255"/>
      <c r="AP33" s="255"/>
    </row>
    <row r="34" spans="1:52" ht="14.1" customHeight="1">
      <c r="A34" s="3515" t="s">
        <v>196</v>
      </c>
      <c r="B34" s="3516"/>
      <c r="C34" s="3516"/>
      <c r="D34" s="3517"/>
      <c r="E34" s="3504" t="str">
        <f t="shared" si="0"/>
        <v/>
      </c>
      <c r="F34" s="3504"/>
      <c r="G34" s="264" t="str">
        <f t="shared" si="1"/>
        <v/>
      </c>
      <c r="H34" s="3594" t="str">
        <f t="shared" si="2"/>
        <v/>
      </c>
      <c r="I34" s="3595"/>
      <c r="J34" s="3603"/>
      <c r="K34" s="3604"/>
      <c r="L34" s="3604"/>
      <c r="M34" s="3604"/>
      <c r="N34" s="3604"/>
      <c r="O34" s="3605"/>
      <c r="P34" s="3591" t="str">
        <f t="shared" si="3"/>
        <v/>
      </c>
      <c r="Q34" s="3507"/>
      <c r="R34" s="3507"/>
      <c r="S34" s="3507"/>
      <c r="T34" s="3507"/>
      <c r="U34" s="3507"/>
      <c r="V34" s="3592"/>
      <c r="W34" s="3606"/>
      <c r="X34" s="3607"/>
      <c r="Y34" s="3607"/>
      <c r="Z34" s="3607"/>
      <c r="AA34" s="3607"/>
      <c r="AB34" s="3608"/>
      <c r="AC34" s="3591" t="str">
        <f t="shared" si="4"/>
        <v/>
      </c>
      <c r="AD34" s="3507"/>
      <c r="AE34" s="3507"/>
      <c r="AF34" s="3507"/>
      <c r="AG34" s="3507"/>
      <c r="AH34" s="3507"/>
      <c r="AI34" s="3592"/>
      <c r="AJ34" s="1021" t="s">
        <v>62</v>
      </c>
      <c r="AK34" s="3507" t="str">
        <f>IF('Gradacion '!$R$10="","",VLOOKUP(AJ34,'Gradacion '!$E$14:$X$24,5,0))</f>
        <v/>
      </c>
      <c r="AL34" s="3508"/>
      <c r="AM34" s="3507" t="str">
        <f>IF('Gradacion '!$R$10="","",VLOOKUP(AJ34,'Gradacion '!$E$14:$X$24,13,0))</f>
        <v/>
      </c>
      <c r="AN34" s="3508"/>
      <c r="AO34" s="255"/>
      <c r="AP34" s="255"/>
    </row>
    <row r="35" spans="1:52" ht="14.1" customHeight="1">
      <c r="A35" s="3515" t="s">
        <v>197</v>
      </c>
      <c r="B35" s="3516"/>
      <c r="C35" s="3516"/>
      <c r="D35" s="3517"/>
      <c r="E35" s="3504" t="str">
        <f t="shared" si="0"/>
        <v/>
      </c>
      <c r="F35" s="3504"/>
      <c r="G35" s="264" t="str">
        <f t="shared" si="1"/>
        <v/>
      </c>
      <c r="H35" s="3594" t="str">
        <f t="shared" si="2"/>
        <v/>
      </c>
      <c r="I35" s="3595"/>
      <c r="J35" s="3603"/>
      <c r="K35" s="3604"/>
      <c r="L35" s="3604"/>
      <c r="M35" s="3604"/>
      <c r="N35" s="3604"/>
      <c r="O35" s="3605"/>
      <c r="P35" s="3591" t="str">
        <f t="shared" si="3"/>
        <v/>
      </c>
      <c r="Q35" s="3507"/>
      <c r="R35" s="3507"/>
      <c r="S35" s="3507"/>
      <c r="T35" s="3507"/>
      <c r="U35" s="3507"/>
      <c r="V35" s="3592"/>
      <c r="W35" s="3606"/>
      <c r="X35" s="3607"/>
      <c r="Y35" s="3607"/>
      <c r="Z35" s="3607"/>
      <c r="AA35" s="3607"/>
      <c r="AB35" s="3608"/>
      <c r="AC35" s="3591" t="str">
        <f t="shared" si="4"/>
        <v/>
      </c>
      <c r="AD35" s="3507"/>
      <c r="AE35" s="3507"/>
      <c r="AF35" s="3507"/>
      <c r="AG35" s="3507"/>
      <c r="AH35" s="3507"/>
      <c r="AI35" s="3592"/>
      <c r="AJ35" s="1021" t="s">
        <v>65</v>
      </c>
      <c r="AK35" s="3507" t="str">
        <f>IF('Gradacion '!$R$10="","",VLOOKUP(AJ35,'Gradacion '!$E$14:$X$24,5,0))</f>
        <v/>
      </c>
      <c r="AL35" s="3508"/>
      <c r="AM35" s="3507" t="str">
        <f>IF('Gradacion '!$R$10="","",VLOOKUP(AJ35,'Gradacion '!$E$14:$X$24,13,0))</f>
        <v/>
      </c>
      <c r="AN35" s="3508"/>
      <c r="AO35" s="255"/>
      <c r="AP35" s="255"/>
    </row>
    <row r="36" spans="1:52" ht="14.1" customHeight="1">
      <c r="A36" s="3515" t="s">
        <v>198</v>
      </c>
      <c r="B36" s="3516"/>
      <c r="C36" s="3516"/>
      <c r="D36" s="3517"/>
      <c r="E36" s="3505" t="str">
        <f t="shared" si="0"/>
        <v/>
      </c>
      <c r="F36" s="3506"/>
      <c r="G36" s="264" t="str">
        <f t="shared" si="1"/>
        <v/>
      </c>
      <c r="H36" s="3594" t="str">
        <f t="shared" si="2"/>
        <v/>
      </c>
      <c r="I36" s="3595"/>
      <c r="J36" s="3596"/>
      <c r="K36" s="3597"/>
      <c r="L36" s="3597"/>
      <c r="M36" s="3597"/>
      <c r="N36" s="3597"/>
      <c r="O36" s="3598"/>
      <c r="P36" s="3591" t="str">
        <f t="shared" si="3"/>
        <v/>
      </c>
      <c r="Q36" s="3507"/>
      <c r="R36" s="3507"/>
      <c r="S36" s="3507"/>
      <c r="T36" s="3507"/>
      <c r="U36" s="3507"/>
      <c r="V36" s="3592"/>
      <c r="W36" s="3599"/>
      <c r="X36" s="3600"/>
      <c r="Y36" s="3600"/>
      <c r="Z36" s="3600"/>
      <c r="AA36" s="3600"/>
      <c r="AB36" s="3601"/>
      <c r="AC36" s="3591" t="str">
        <f t="shared" si="4"/>
        <v/>
      </c>
      <c r="AD36" s="3507"/>
      <c r="AE36" s="3507"/>
      <c r="AF36" s="3507"/>
      <c r="AG36" s="3507"/>
      <c r="AH36" s="3507"/>
      <c r="AI36" s="3592"/>
      <c r="AJ36" s="1021" t="s">
        <v>495</v>
      </c>
      <c r="AK36" s="3507" t="str">
        <f>IF('Gradacion '!$R$10="","",VLOOKUP(AJ36,'Gradacion '!$E$14:$X$24,5,0))</f>
        <v/>
      </c>
      <c r="AL36" s="3508"/>
      <c r="AM36" s="3507" t="str">
        <f>IF('Gradacion '!$R$10="","",VLOOKUP(AJ36,'Gradacion '!$E$14:$X$24,13,0))</f>
        <v/>
      </c>
      <c r="AN36" s="3508"/>
      <c r="AO36" s="255"/>
      <c r="AP36" s="255"/>
    </row>
    <row r="37" spans="1:52" ht="14.1" customHeight="1">
      <c r="A37" s="3653" t="s">
        <v>132</v>
      </c>
      <c r="B37" s="3654"/>
      <c r="C37" s="3654"/>
      <c r="D37" s="3655"/>
      <c r="E37" s="3656">
        <f>SUM(E30:F36)</f>
        <v>0</v>
      </c>
      <c r="F37" s="3657"/>
      <c r="G37" s="42">
        <f>SUM(G30:G36)</f>
        <v>0</v>
      </c>
      <c r="H37" s="3540">
        <f>SUM(H30:I36)</f>
        <v>0</v>
      </c>
      <c r="I37" s="3541"/>
      <c r="J37" s="3668" t="str">
        <f>IF(AND(J30="",J31="",J32="",J33="",J34="",J35="",J36=""),"",SUM(J30:O36))</f>
        <v/>
      </c>
      <c r="K37" s="3540"/>
      <c r="L37" s="3540"/>
      <c r="M37" s="3540"/>
      <c r="N37" s="3540"/>
      <c r="O37" s="3669"/>
      <c r="P37" s="3609"/>
      <c r="Q37" s="3609"/>
      <c r="R37" s="3609"/>
      <c r="S37" s="3609"/>
      <c r="T37" s="3609"/>
      <c r="U37" s="3609"/>
      <c r="V37" s="3609"/>
      <c r="W37" s="3668" t="str">
        <f>IF(AND(W30="",W31="",W32="",W33="",W34="",W35="",W36=""),"",SUM(W30:AB36))</f>
        <v/>
      </c>
      <c r="X37" s="3540"/>
      <c r="Y37" s="3540"/>
      <c r="Z37" s="3540"/>
      <c r="AA37" s="3540"/>
      <c r="AB37" s="3669"/>
      <c r="AC37" s="3609"/>
      <c r="AD37" s="3609"/>
      <c r="AE37" s="3609"/>
      <c r="AF37" s="3609"/>
      <c r="AG37" s="3609"/>
      <c r="AH37" s="3609"/>
      <c r="AI37" s="3610"/>
    </row>
    <row r="38" spans="1:52" ht="15" customHeight="1">
      <c r="A38" s="3670" t="s">
        <v>366</v>
      </c>
      <c r="B38" s="3671"/>
      <c r="C38" s="3671"/>
      <c r="D38" s="3671"/>
      <c r="E38" s="3671"/>
      <c r="F38" s="3671"/>
      <c r="G38" s="3671"/>
      <c r="H38" s="3671"/>
      <c r="I38" s="3671"/>
      <c r="J38" s="3623" t="str">
        <f>IF(OR(E37="",J37=""),"",J37*100/E37)</f>
        <v/>
      </c>
      <c r="K38" s="3623"/>
      <c r="L38" s="3623"/>
      <c r="M38" s="3672"/>
      <c r="N38" s="3673" t="s">
        <v>367</v>
      </c>
      <c r="O38" s="3671"/>
      <c r="P38" s="3671"/>
      <c r="Q38" s="3671"/>
      <c r="R38" s="3671"/>
      <c r="S38" s="3671"/>
      <c r="T38" s="3671"/>
      <c r="U38" s="3671"/>
      <c r="V38" s="3671"/>
      <c r="W38" s="3671"/>
      <c r="X38" s="3671"/>
      <c r="Y38" s="3671"/>
      <c r="Z38" s="3671"/>
      <c r="AA38" s="3671"/>
      <c r="AB38" s="3671"/>
      <c r="AC38" s="3671"/>
      <c r="AD38" s="3671"/>
      <c r="AE38" s="3623" t="str">
        <f>+IF(OR(W37="",E37=""),"",(IF(E37="","",(W37*100/E37))))</f>
        <v/>
      </c>
      <c r="AF38" s="3623"/>
      <c r="AG38" s="3623"/>
      <c r="AH38" s="3623"/>
      <c r="AI38" s="3624"/>
      <c r="AJ38" s="3" t="e">
        <f>(+J37/E37)*100</f>
        <v>#VALUE!</v>
      </c>
      <c r="AK38" s="255"/>
      <c r="AL38" s="255"/>
      <c r="AM38" s="255"/>
      <c r="AN38" s="255"/>
      <c r="AO38" s="255"/>
      <c r="AP38" s="255"/>
      <c r="AQ38" s="255"/>
      <c r="AR38" s="255"/>
      <c r="AS38" s="255"/>
      <c r="AT38" s="255"/>
      <c r="AU38" s="255"/>
    </row>
    <row r="39" spans="1:52" ht="12.95" customHeight="1">
      <c r="A39" s="3666" t="s">
        <v>20</v>
      </c>
      <c r="B39" s="3667"/>
      <c r="C39" s="3667"/>
      <c r="D39" s="3667"/>
      <c r="E39" s="3667"/>
      <c r="F39" s="3674"/>
      <c r="G39" s="3674"/>
      <c r="H39" s="3674"/>
      <c r="I39" s="3674"/>
      <c r="J39" s="3674"/>
      <c r="K39" s="3674"/>
      <c r="L39" s="3674"/>
      <c r="M39" s="3674"/>
      <c r="N39" s="3674"/>
      <c r="O39" s="3674"/>
      <c r="P39" s="3674"/>
      <c r="Q39" s="3674"/>
      <c r="R39" s="3674"/>
      <c r="S39" s="3674"/>
      <c r="T39" s="3674"/>
      <c r="U39" s="3674"/>
      <c r="V39" s="3674"/>
      <c r="W39" s="3674"/>
      <c r="X39" s="3674"/>
      <c r="Y39" s="3674"/>
      <c r="Z39" s="3674"/>
      <c r="AA39" s="3674"/>
      <c r="AB39" s="3674"/>
      <c r="AC39" s="3674"/>
      <c r="AD39" s="3674"/>
      <c r="AE39" s="3674"/>
      <c r="AF39" s="3674"/>
      <c r="AG39" s="3674"/>
      <c r="AH39" s="3674"/>
      <c r="AI39" s="3675"/>
      <c r="AJ39" s="256"/>
      <c r="AK39" s="255"/>
      <c r="AL39" s="255"/>
      <c r="AM39" s="255"/>
      <c r="AN39" s="255"/>
      <c r="AO39" s="255"/>
      <c r="AP39" s="255"/>
      <c r="AQ39" s="255"/>
      <c r="AR39" s="255"/>
      <c r="AS39" s="255"/>
      <c r="AT39" s="255"/>
      <c r="AU39" s="255"/>
    </row>
    <row r="40" spans="1:52" ht="30" customHeight="1">
      <c r="A40" s="3509"/>
      <c r="B40" s="3510"/>
      <c r="C40" s="3510"/>
      <c r="D40" s="3510"/>
      <c r="E40" s="3510"/>
      <c r="F40" s="3510"/>
      <c r="G40" s="3510"/>
      <c r="H40" s="3510"/>
      <c r="I40" s="3510"/>
      <c r="J40" s="3510"/>
      <c r="K40" s="3510"/>
      <c r="L40" s="3510"/>
      <c r="M40" s="3510"/>
      <c r="N40" s="3510"/>
      <c r="O40" s="3510"/>
      <c r="P40" s="3510"/>
      <c r="Q40" s="3510"/>
      <c r="R40" s="3510"/>
      <c r="S40" s="3510"/>
      <c r="T40" s="3510"/>
      <c r="U40" s="3510"/>
      <c r="V40" s="3510"/>
      <c r="W40" s="3510"/>
      <c r="X40" s="3510"/>
      <c r="Y40" s="3510"/>
      <c r="Z40" s="3510"/>
      <c r="AA40" s="3510"/>
      <c r="AB40" s="3510"/>
      <c r="AC40" s="3510"/>
      <c r="AD40" s="3510"/>
      <c r="AE40" s="3510"/>
      <c r="AF40" s="3510"/>
      <c r="AG40" s="3510"/>
      <c r="AH40" s="3510"/>
      <c r="AI40" s="3511"/>
      <c r="AJ40" s="256"/>
      <c r="AK40" s="255"/>
      <c r="AL40" s="255"/>
      <c r="AM40" s="255"/>
      <c r="AN40" s="255"/>
      <c r="AO40" s="255"/>
      <c r="AP40" s="255"/>
      <c r="AQ40" s="255"/>
      <c r="AR40" s="255"/>
      <c r="AS40" s="255"/>
      <c r="AT40" s="255"/>
      <c r="AU40" s="255"/>
    </row>
    <row r="41" spans="1:52" ht="36.75" customHeight="1">
      <c r="A41" s="3614"/>
      <c r="B41" s="3615"/>
      <c r="C41" s="3615"/>
      <c r="D41" s="3615"/>
      <c r="E41" s="3615"/>
      <c r="F41" s="3616"/>
      <c r="G41" s="1899" t="s">
        <v>425</v>
      </c>
      <c r="H41" s="1900"/>
      <c r="I41" s="1900"/>
      <c r="J41" s="1900"/>
      <c r="K41" s="1900"/>
      <c r="L41" s="1901"/>
      <c r="M41" s="1902" t="s">
        <v>11</v>
      </c>
      <c r="N41" s="1903"/>
      <c r="O41" s="1903"/>
      <c r="P41" s="1903"/>
      <c r="Q41" s="1903"/>
      <c r="R41" s="1903"/>
      <c r="S41" s="1903"/>
      <c r="T41" s="1903"/>
      <c r="U41" s="1903"/>
      <c r="V41" s="1903"/>
      <c r="W41" s="1903"/>
      <c r="X41" s="1904"/>
      <c r="Y41" s="1902" t="s">
        <v>12</v>
      </c>
      <c r="Z41" s="1903"/>
      <c r="AA41" s="1903"/>
      <c r="AB41" s="1903"/>
      <c r="AC41" s="1903"/>
      <c r="AD41" s="1903"/>
      <c r="AE41" s="1903"/>
      <c r="AF41" s="1903"/>
      <c r="AG41" s="1903"/>
      <c r="AH41" s="1903"/>
      <c r="AI41" s="1904"/>
      <c r="AJ41" s="256"/>
      <c r="AK41" s="255"/>
      <c r="AL41" s="255"/>
      <c r="AM41" s="255"/>
      <c r="AN41" s="255"/>
      <c r="AO41" s="255"/>
      <c r="AP41" s="255"/>
      <c r="AQ41" s="255"/>
      <c r="AR41" s="255"/>
      <c r="AS41" s="255"/>
      <c r="AT41" s="255"/>
      <c r="AU41" s="255"/>
    </row>
    <row r="42" spans="1:52" ht="38.1" customHeight="1">
      <c r="A42" s="3614" t="s">
        <v>13</v>
      </c>
      <c r="B42" s="3615"/>
      <c r="C42" s="3615"/>
      <c r="D42" s="3615"/>
      <c r="E42" s="3615"/>
      <c r="F42" s="3616"/>
      <c r="G42" s="3620"/>
      <c r="H42" s="3621"/>
      <c r="I42" s="3621"/>
      <c r="J42" s="3621"/>
      <c r="K42" s="3621"/>
      <c r="L42" s="3622"/>
      <c r="M42" s="3512"/>
      <c r="N42" s="3513"/>
      <c r="O42" s="3513"/>
      <c r="P42" s="3513"/>
      <c r="Q42" s="3513"/>
      <c r="R42" s="3513"/>
      <c r="S42" s="3513"/>
      <c r="T42" s="3513"/>
      <c r="U42" s="3513"/>
      <c r="V42" s="3513"/>
      <c r="W42" s="3513"/>
      <c r="X42" s="3514"/>
      <c r="Y42" s="3512"/>
      <c r="Z42" s="3513"/>
      <c r="AA42" s="3513"/>
      <c r="AB42" s="3513"/>
      <c r="AC42" s="3513"/>
      <c r="AD42" s="3513"/>
      <c r="AE42" s="3513"/>
      <c r="AF42" s="3513"/>
      <c r="AG42" s="3513"/>
      <c r="AH42" s="3513"/>
      <c r="AI42" s="3514"/>
      <c r="AJ42" s="256"/>
      <c r="AK42" s="255"/>
      <c r="AL42" s="255"/>
      <c r="AM42" s="255"/>
      <c r="AN42" s="255"/>
      <c r="AO42" s="255"/>
      <c r="AP42" s="255"/>
      <c r="AQ42" s="255"/>
      <c r="AR42" s="255"/>
      <c r="AS42" s="255"/>
      <c r="AT42" s="255"/>
      <c r="AU42" s="255"/>
    </row>
    <row r="43" spans="1:52" ht="14.1" customHeight="1">
      <c r="A43" s="3617" t="s">
        <v>623</v>
      </c>
      <c r="B43" s="3618"/>
      <c r="C43" s="3618"/>
      <c r="D43" s="3618"/>
      <c r="E43" s="3618"/>
      <c r="F43" s="3619"/>
      <c r="G43" s="3613" t="s">
        <v>560</v>
      </c>
      <c r="H43" s="1872"/>
      <c r="I43" s="1872"/>
      <c r="J43" s="1872"/>
      <c r="K43" s="1872"/>
      <c r="L43" s="1873"/>
      <c r="M43" s="3613" t="s">
        <v>560</v>
      </c>
      <c r="N43" s="1872"/>
      <c r="O43" s="1872"/>
      <c r="P43" s="1872"/>
      <c r="Q43" s="1872"/>
      <c r="R43" s="1872"/>
      <c r="S43" s="1872"/>
      <c r="T43" s="1872"/>
      <c r="U43" s="1872"/>
      <c r="V43" s="1872"/>
      <c r="W43" s="1872"/>
      <c r="X43" s="1873"/>
      <c r="Y43" s="3613" t="s">
        <v>560</v>
      </c>
      <c r="Z43" s="1872"/>
      <c r="AA43" s="1872"/>
      <c r="AB43" s="1872"/>
      <c r="AC43" s="1872"/>
      <c r="AD43" s="1872"/>
      <c r="AE43" s="1872"/>
      <c r="AF43" s="1872"/>
      <c r="AG43" s="1872"/>
      <c r="AH43" s="1872"/>
      <c r="AI43" s="1873"/>
      <c r="AJ43" s="248"/>
      <c r="AN43" s="3593" t="s">
        <v>208</v>
      </c>
      <c r="AO43" s="3593"/>
      <c r="AP43" s="3593"/>
      <c r="AQ43" s="3593"/>
      <c r="AR43" s="3593"/>
      <c r="AS43" s="3593"/>
      <c r="AT43" s="3593"/>
      <c r="AU43" s="3593"/>
      <c r="AV43" s="3593"/>
      <c r="AW43" s="3593"/>
      <c r="AX43" s="3593"/>
      <c r="AY43" s="3593"/>
      <c r="AZ43" s="3593"/>
    </row>
    <row r="44" spans="1:52" ht="14.1" customHeight="1" thickBot="1">
      <c r="A44" s="3650" t="s">
        <v>14</v>
      </c>
      <c r="B44" s="3651"/>
      <c r="C44" s="3651"/>
      <c r="D44" s="3651"/>
      <c r="E44" s="3651"/>
      <c r="F44" s="3652"/>
      <c r="G44" s="1854" t="str">
        <f>IF(G43="--","",VLOOKUP(G43,firmas!A2:B31,2,0))</f>
        <v/>
      </c>
      <c r="H44" s="1855"/>
      <c r="I44" s="1855"/>
      <c r="J44" s="1855"/>
      <c r="K44" s="1855"/>
      <c r="L44" s="1856"/>
      <c r="M44" s="1854" t="str">
        <f>IF(M43="--","",VLOOKUP(M43,firmas!A33:B35,2,0))</f>
        <v/>
      </c>
      <c r="N44" s="1855"/>
      <c r="O44" s="1855"/>
      <c r="P44" s="1855"/>
      <c r="Q44" s="1855"/>
      <c r="R44" s="1855"/>
      <c r="S44" s="1855"/>
      <c r="T44" s="1855"/>
      <c r="U44" s="1855"/>
      <c r="V44" s="1855"/>
      <c r="W44" s="1855"/>
      <c r="X44" s="1856"/>
      <c r="Y44" s="1854" t="str">
        <f>IF(Y43="--","",VLOOKUP(Y43,firmas!A37:B38,2))</f>
        <v/>
      </c>
      <c r="Z44" s="1855"/>
      <c r="AA44" s="1855"/>
      <c r="AB44" s="1855"/>
      <c r="AC44" s="1855"/>
      <c r="AD44" s="1855"/>
      <c r="AE44" s="1855"/>
      <c r="AF44" s="1855"/>
      <c r="AG44" s="1855"/>
      <c r="AH44" s="1855"/>
      <c r="AI44" s="1856"/>
      <c r="AJ44" s="248"/>
      <c r="AN44" s="3602" t="s">
        <v>209</v>
      </c>
      <c r="AO44" s="3602"/>
      <c r="AP44" s="3602"/>
      <c r="AQ44" s="3602"/>
      <c r="AR44" s="3602"/>
      <c r="AS44" s="3602"/>
      <c r="AT44" s="3602"/>
      <c r="AU44" s="3602"/>
      <c r="AV44" s="3602"/>
      <c r="AW44" s="3602"/>
      <c r="AX44" s="3602"/>
      <c r="AY44" s="3602"/>
      <c r="AZ44" s="3602"/>
    </row>
    <row r="45" spans="1:52" ht="12" customHeight="1" thickTop="1" thickBot="1">
      <c r="A45" s="3611" t="s">
        <v>24</v>
      </c>
      <c r="B45" s="3612"/>
      <c r="C45" s="3612"/>
      <c r="D45" s="3612"/>
      <c r="E45" s="3612"/>
      <c r="F45" s="3612"/>
      <c r="G45" s="3612"/>
      <c r="H45" s="3612"/>
      <c r="I45" s="3612"/>
      <c r="J45" s="3612"/>
      <c r="K45" s="3612"/>
      <c r="L45" s="3612"/>
      <c r="M45" s="3612"/>
      <c r="N45" s="3612"/>
      <c r="O45" s="3612"/>
      <c r="P45" s="3612"/>
      <c r="Q45" s="3612"/>
      <c r="R45" s="3612"/>
      <c r="S45" s="3612"/>
      <c r="T45" s="3612"/>
      <c r="U45" s="3612"/>
      <c r="V45" s="3612"/>
      <c r="W45" s="3612"/>
      <c r="X45" s="3612"/>
      <c r="Y45" s="3612"/>
      <c r="Z45" s="3612"/>
      <c r="AA45" s="3612"/>
      <c r="AB45" s="3612"/>
      <c r="AC45" s="3612"/>
      <c r="AD45" s="3612"/>
      <c r="AE45" s="3612"/>
      <c r="AF45" s="3612"/>
      <c r="AG45" s="3612"/>
      <c r="AH45" s="3612"/>
      <c r="AI45" s="3612"/>
      <c r="AJ45" s="248"/>
      <c r="AN45" s="3602"/>
      <c r="AO45" s="3602"/>
      <c r="AP45" s="3602"/>
      <c r="AQ45" s="3602"/>
      <c r="AR45" s="3602"/>
      <c r="AS45" s="3602"/>
      <c r="AT45" s="3602"/>
      <c r="AU45" s="3602"/>
      <c r="AV45" s="3602"/>
      <c r="AW45" s="3602"/>
      <c r="AX45" s="3602"/>
      <c r="AY45" s="3602"/>
      <c r="AZ45" s="3602"/>
    </row>
    <row r="46" spans="1:52" ht="18" customHeight="1" thickTop="1">
      <c r="A46" s="2464" t="s">
        <v>25</v>
      </c>
      <c r="B46" s="2464"/>
      <c r="C46" s="2464"/>
      <c r="D46" s="2464"/>
      <c r="E46" s="2464"/>
      <c r="F46" s="2464"/>
      <c r="G46" s="2464"/>
      <c r="H46" s="2464"/>
      <c r="I46" s="2464"/>
      <c r="J46" s="2464"/>
      <c r="K46" s="2464"/>
      <c r="L46" s="2464"/>
      <c r="M46" s="2464"/>
      <c r="N46" s="2464"/>
      <c r="O46" s="2464"/>
      <c r="P46" s="2464"/>
      <c r="Q46" s="2464"/>
      <c r="R46" s="2464"/>
      <c r="S46" s="2464"/>
      <c r="T46" s="2464"/>
      <c r="U46" s="2464"/>
      <c r="V46" s="2464"/>
      <c r="W46" s="2464"/>
      <c r="X46" s="2464"/>
      <c r="Y46" s="2464"/>
      <c r="Z46" s="2464"/>
      <c r="AA46" s="2464"/>
      <c r="AB46" s="2464"/>
      <c r="AC46" s="2464"/>
      <c r="AD46" s="2464"/>
      <c r="AE46" s="2464"/>
      <c r="AF46" s="2464"/>
      <c r="AG46" s="2464"/>
      <c r="AH46" s="2464"/>
      <c r="AI46" s="2464"/>
      <c r="AJ46" s="257"/>
      <c r="AN46" s="3602"/>
      <c r="AO46" s="3602"/>
      <c r="AP46" s="3602"/>
      <c r="AQ46" s="3602"/>
      <c r="AR46" s="3602"/>
      <c r="AS46" s="3602"/>
      <c r="AT46" s="3602"/>
      <c r="AU46" s="3602"/>
      <c r="AV46" s="3602"/>
      <c r="AW46" s="3602"/>
      <c r="AX46" s="3602"/>
      <c r="AY46" s="3602"/>
      <c r="AZ46" s="3602"/>
    </row>
    <row r="47" spans="1:52" ht="27.95" customHeight="1">
      <c r="A47" s="2274" t="s">
        <v>16</v>
      </c>
      <c r="B47" s="2274"/>
      <c r="C47" s="2274"/>
      <c r="D47" s="2274"/>
      <c r="E47" s="2274"/>
      <c r="F47" s="2274"/>
      <c r="G47" s="2274"/>
      <c r="H47" s="2274"/>
      <c r="I47" s="2274"/>
      <c r="J47" s="2274"/>
      <c r="K47" s="2274"/>
      <c r="L47" s="2274"/>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48"/>
      <c r="AN47" s="3602"/>
      <c r="AO47" s="3602"/>
      <c r="AP47" s="3602"/>
      <c r="AQ47" s="3602"/>
      <c r="AR47" s="3602"/>
      <c r="AS47" s="3602"/>
      <c r="AT47" s="3602"/>
      <c r="AU47" s="3602"/>
      <c r="AV47" s="3602"/>
      <c r="AW47" s="3602"/>
      <c r="AX47" s="3602"/>
      <c r="AY47" s="3602"/>
      <c r="AZ47" s="3602"/>
    </row>
    <row r="48" spans="1:52" ht="12" customHeight="1">
      <c r="AJ48" s="248"/>
      <c r="AN48" s="3590" t="s">
        <v>346</v>
      </c>
      <c r="AO48" s="3590"/>
      <c r="AP48" s="3590"/>
      <c r="AQ48" s="3590"/>
      <c r="AR48" s="3590"/>
      <c r="AS48" s="3590"/>
      <c r="AT48" s="3590"/>
      <c r="AU48" s="3590"/>
      <c r="AV48" s="3590"/>
      <c r="AW48" s="3590"/>
      <c r="AX48" s="3590"/>
      <c r="AY48" s="3590"/>
      <c r="AZ48" s="3590"/>
    </row>
    <row r="49" spans="1:71" ht="9" customHeight="1">
      <c r="AJ49" s="248"/>
      <c r="AN49" s="3590"/>
      <c r="AO49" s="3590"/>
      <c r="AP49" s="3590"/>
      <c r="AQ49" s="3590"/>
      <c r="AR49" s="3590"/>
      <c r="AS49" s="3590"/>
      <c r="AT49" s="3590"/>
      <c r="AU49" s="3590"/>
      <c r="AV49" s="3590"/>
      <c r="AW49" s="3590"/>
      <c r="AX49" s="3590"/>
      <c r="AY49" s="3590"/>
      <c r="AZ49" s="3590"/>
    </row>
    <row r="50" spans="1:71" ht="14.1" customHeight="1">
      <c r="AJ50" s="248"/>
      <c r="AN50" s="3590"/>
      <c r="AO50" s="3590"/>
      <c r="AP50" s="3590"/>
      <c r="AQ50" s="3590"/>
      <c r="AR50" s="3590"/>
      <c r="AS50" s="3590"/>
      <c r="AT50" s="3590"/>
      <c r="AU50" s="3590"/>
      <c r="AV50" s="3590"/>
      <c r="AW50" s="3590"/>
      <c r="AX50" s="3590"/>
      <c r="AY50" s="3590"/>
      <c r="AZ50" s="3590"/>
    </row>
    <row r="51" spans="1:71" ht="39.950000000000003" customHeight="1">
      <c r="AJ51" s="248"/>
      <c r="AN51" s="258"/>
      <c r="AO51" s="258"/>
      <c r="AP51" s="258"/>
      <c r="AQ51" s="258"/>
      <c r="AR51" s="258"/>
      <c r="AS51" s="258"/>
      <c r="AT51" s="258"/>
      <c r="AU51" s="258"/>
      <c r="AV51" s="258"/>
      <c r="AW51" s="258"/>
      <c r="AX51" s="258"/>
      <c r="AY51" s="258"/>
      <c r="AZ51" s="258"/>
      <c r="BA51" s="259"/>
    </row>
    <row r="52" spans="1:71" s="89" customFormat="1" ht="14.1" customHeight="1">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P52" s="260"/>
      <c r="AQ52" s="260"/>
      <c r="AR52" s="261"/>
      <c r="AS52" s="260"/>
      <c r="AT52" s="260"/>
      <c r="AU52" s="261"/>
    </row>
    <row r="53" spans="1:71" s="84" customFormat="1" ht="14.1" customHeight="1">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row>
    <row r="54" spans="1:71" s="84" customFormat="1" ht="12" customHeight="1">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row>
    <row r="55" spans="1:71" s="84" customFormat="1" ht="18" customHeight="1">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row>
    <row r="56" spans="1:71" s="84" customFormat="1" ht="27.95" customHeight="1">
      <c r="A56" s="241"/>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row>
    <row r="57" spans="1:71" s="84" customFormat="1" ht="18" customHeight="1">
      <c r="A57" s="241"/>
      <c r="B57" s="241"/>
      <c r="C57" s="241"/>
      <c r="D57" s="241"/>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row>
    <row r="58" spans="1:71" s="91" customFormat="1" ht="18" customHeight="1">
      <c r="A58" s="241"/>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row>
    <row r="59" spans="1:71" s="84" customFormat="1" ht="18.75" customHeight="1">
      <c r="A59" s="241"/>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row>
    <row r="60" spans="1:71" s="84" customFormat="1" ht="30" customHeight="1">
      <c r="A60" s="241"/>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row>
    <row r="61" spans="1:71" ht="11.25" customHeight="1">
      <c r="AJ61" s="248"/>
      <c r="AN61" s="258"/>
      <c r="AO61" s="258"/>
      <c r="AP61" s="258"/>
      <c r="AQ61" s="258"/>
      <c r="AR61" s="258"/>
      <c r="AS61" s="258"/>
      <c r="AT61" s="258"/>
      <c r="AU61" s="258"/>
      <c r="AV61" s="258"/>
      <c r="AW61" s="258"/>
      <c r="AX61" s="258"/>
      <c r="AY61" s="258"/>
      <c r="AZ61" s="258"/>
      <c r="BA61" s="259"/>
    </row>
    <row r="62" spans="1:71" ht="9" customHeight="1">
      <c r="AJ62" s="248"/>
      <c r="AN62" s="258"/>
      <c r="AO62" s="258"/>
      <c r="AP62" s="258"/>
      <c r="AQ62" s="258"/>
      <c r="AR62" s="258"/>
      <c r="AS62" s="258"/>
      <c r="AT62" s="258"/>
      <c r="AU62" s="258"/>
      <c r="AV62" s="258"/>
      <c r="AW62" s="258"/>
      <c r="AX62" s="258"/>
      <c r="AY62" s="258"/>
      <c r="AZ62" s="258"/>
      <c r="BA62" s="259"/>
    </row>
    <row r="63" spans="1:71" s="263" customFormat="1" ht="24.75" customHeight="1">
      <c r="A63" s="241"/>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62"/>
      <c r="AK63" s="262"/>
      <c r="AL63" s="262"/>
      <c r="AM63" s="262"/>
      <c r="AN63" s="262"/>
      <c r="AO63" s="262"/>
      <c r="AP63" s="262"/>
      <c r="AQ63" s="262"/>
      <c r="AR63" s="262"/>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262"/>
    </row>
    <row r="64" spans="1:71" s="263" customFormat="1" ht="27.75" customHeight="1">
      <c r="A64" s="241"/>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62"/>
      <c r="AK64" s="262"/>
      <c r="AL64" s="262"/>
      <c r="AM64" s="262"/>
      <c r="AN64" s="262"/>
      <c r="AO64" s="262"/>
      <c r="AP64" s="262"/>
      <c r="AQ64" s="262"/>
      <c r="AR64" s="262"/>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262"/>
    </row>
  </sheetData>
  <sheetProtection algorithmName="SHA-512" hashValue="PT0Fyrg6LvEDbpiiJ8bjGXwpNRByRZdyWpmedBOdqwXASN+iC+AT05R14AnJ7ygkVMfTssEa4SuuDtmpvHfIfg==" saltValue="W8w50DSeN5ajufA2b44dDQ==" spinCount="100000" sheet="1" formatCells="0" formatColumns="0" formatRows="0"/>
  <mergeCells count="198">
    <mergeCell ref="F39:AI39"/>
    <mergeCell ref="W32:AB32"/>
    <mergeCell ref="A32:D32"/>
    <mergeCell ref="AK32:AL32"/>
    <mergeCell ref="H32:I32"/>
    <mergeCell ref="J32:O32"/>
    <mergeCell ref="P32:V32"/>
    <mergeCell ref="BO20:CE20"/>
    <mergeCell ref="A10:AI10"/>
    <mergeCell ref="AB20:AI20"/>
    <mergeCell ref="R19:AA19"/>
    <mergeCell ref="R20:AA20"/>
    <mergeCell ref="I19:Q19"/>
    <mergeCell ref="I20:Q20"/>
    <mergeCell ref="AT28:BJ28"/>
    <mergeCell ref="R22:AI22"/>
    <mergeCell ref="A21:Q21"/>
    <mergeCell ref="A22:Q22"/>
    <mergeCell ref="A23:AI23"/>
    <mergeCell ref="AF24:AI24"/>
    <mergeCell ref="AF25:AI25"/>
    <mergeCell ref="A24:G24"/>
    <mergeCell ref="A25:H25"/>
    <mergeCell ref="A26:H26"/>
    <mergeCell ref="J37:O37"/>
    <mergeCell ref="P37:V37"/>
    <mergeCell ref="W37:AB37"/>
    <mergeCell ref="A38:I38"/>
    <mergeCell ref="J38:M38"/>
    <mergeCell ref="N38:AD38"/>
    <mergeCell ref="AC33:AI33"/>
    <mergeCell ref="A34:D34"/>
    <mergeCell ref="AK34:AL34"/>
    <mergeCell ref="H34:I34"/>
    <mergeCell ref="J34:O34"/>
    <mergeCell ref="P34:V34"/>
    <mergeCell ref="W34:AB34"/>
    <mergeCell ref="AC34:AI34"/>
    <mergeCell ref="A33:D33"/>
    <mergeCell ref="AK33:AL33"/>
    <mergeCell ref="AJ23:AN23"/>
    <mergeCell ref="A27:I27"/>
    <mergeCell ref="A44:F44"/>
    <mergeCell ref="A37:D37"/>
    <mergeCell ref="E37:F37"/>
    <mergeCell ref="Y43:AI43"/>
    <mergeCell ref="Y44:AI44"/>
    <mergeCell ref="M41:X41"/>
    <mergeCell ref="M42:X42"/>
    <mergeCell ref="M43:X43"/>
    <mergeCell ref="M44:X44"/>
    <mergeCell ref="G41:L41"/>
    <mergeCell ref="H28:I29"/>
    <mergeCell ref="AD24:AE24"/>
    <mergeCell ref="AD25:AE25"/>
    <mergeCell ref="AD26:AE26"/>
    <mergeCell ref="J25:M25"/>
    <mergeCell ref="O24:AC24"/>
    <mergeCell ref="O25:AC25"/>
    <mergeCell ref="A39:E39"/>
    <mergeCell ref="H33:I33"/>
    <mergeCell ref="J33:O33"/>
    <mergeCell ref="P33:V33"/>
    <mergeCell ref="W33:AB33"/>
    <mergeCell ref="AJ20:AP20"/>
    <mergeCell ref="AF26:AI26"/>
    <mergeCell ref="J27:V27"/>
    <mergeCell ref="W27:AI27"/>
    <mergeCell ref="AR21:BH21"/>
    <mergeCell ref="R21:AI21"/>
    <mergeCell ref="AC32:AI32"/>
    <mergeCell ref="A31:D31"/>
    <mergeCell ref="AK31:AL31"/>
    <mergeCell ref="H31:I31"/>
    <mergeCell ref="J31:O31"/>
    <mergeCell ref="P31:V31"/>
    <mergeCell ref="W31:AB31"/>
    <mergeCell ref="AC30:AI30"/>
    <mergeCell ref="AC31:AI31"/>
    <mergeCell ref="A30:D30"/>
    <mergeCell ref="AK30:AL30"/>
    <mergeCell ref="H30:I30"/>
    <mergeCell ref="J30:O30"/>
    <mergeCell ref="P30:V30"/>
    <mergeCell ref="W30:AB30"/>
    <mergeCell ref="A28:D29"/>
    <mergeCell ref="E28:F29"/>
    <mergeCell ref="G28:G29"/>
    <mergeCell ref="AN48:AZ50"/>
    <mergeCell ref="AC35:AI35"/>
    <mergeCell ref="AN43:AZ43"/>
    <mergeCell ref="H36:I36"/>
    <mergeCell ref="J36:O36"/>
    <mergeCell ref="P36:V36"/>
    <mergeCell ref="W36:AB36"/>
    <mergeCell ref="AC36:AI36"/>
    <mergeCell ref="AN44:AZ47"/>
    <mergeCell ref="H35:I35"/>
    <mergeCell ref="J35:O35"/>
    <mergeCell ref="P35:V35"/>
    <mergeCell ref="W35:AB35"/>
    <mergeCell ref="AC37:AI37"/>
    <mergeCell ref="A45:AI45"/>
    <mergeCell ref="A46:AI46"/>
    <mergeCell ref="A47:AI47"/>
    <mergeCell ref="G43:L43"/>
    <mergeCell ref="G44:L44"/>
    <mergeCell ref="A41:F41"/>
    <mergeCell ref="A42:F42"/>
    <mergeCell ref="A43:F43"/>
    <mergeCell ref="G42:L42"/>
    <mergeCell ref="AE38:AI38"/>
    <mergeCell ref="V6:AC6"/>
    <mergeCell ref="A7:D7"/>
    <mergeCell ref="A8:D8"/>
    <mergeCell ref="A9:D9"/>
    <mergeCell ref="E9:U9"/>
    <mergeCell ref="A19:H19"/>
    <mergeCell ref="A20:H20"/>
    <mergeCell ref="AB19:AI19"/>
    <mergeCell ref="E6:U6"/>
    <mergeCell ref="A6:D6"/>
    <mergeCell ref="E7:H7"/>
    <mergeCell ref="E8:H8"/>
    <mergeCell ref="M8:U8"/>
    <mergeCell ref="V7:AC7"/>
    <mergeCell ref="V8:AC8"/>
    <mergeCell ref="V9:AC9"/>
    <mergeCell ref="I7:L7"/>
    <mergeCell ref="M7:U7"/>
    <mergeCell ref="AD8:AI8"/>
    <mergeCell ref="A18:G18"/>
    <mergeCell ref="A14:G14"/>
    <mergeCell ref="AB16:AI16"/>
    <mergeCell ref="E17:H17"/>
    <mergeCell ref="I8:L8"/>
    <mergeCell ref="G1:AI1"/>
    <mergeCell ref="G2:AI2"/>
    <mergeCell ref="G3:AI3"/>
    <mergeCell ref="G4:U4"/>
    <mergeCell ref="V4:AI4"/>
    <mergeCell ref="G5:AI5"/>
    <mergeCell ref="A15:AI15"/>
    <mergeCell ref="A12:D13"/>
    <mergeCell ref="AB12:AI12"/>
    <mergeCell ref="R12:AA12"/>
    <mergeCell ref="AB13:AI13"/>
    <mergeCell ref="I12:Q12"/>
    <mergeCell ref="E12:H12"/>
    <mergeCell ref="R13:AA13"/>
    <mergeCell ref="I13:Q13"/>
    <mergeCell ref="E13:H13"/>
    <mergeCell ref="R14:AA14"/>
    <mergeCell ref="I14:Q14"/>
    <mergeCell ref="AB14:AI14"/>
    <mergeCell ref="A11:AI11"/>
    <mergeCell ref="A1:F5"/>
    <mergeCell ref="AD6:AI6"/>
    <mergeCell ref="AD7:AI7"/>
    <mergeCell ref="AD9:AI9"/>
    <mergeCell ref="A40:AI40"/>
    <mergeCell ref="Y41:AI41"/>
    <mergeCell ref="Y42:AI42"/>
    <mergeCell ref="A36:D36"/>
    <mergeCell ref="AK36:AL36"/>
    <mergeCell ref="A35:D35"/>
    <mergeCell ref="AK35:AL35"/>
    <mergeCell ref="I17:Q17"/>
    <mergeCell ref="R17:AA17"/>
    <mergeCell ref="AB17:AI17"/>
    <mergeCell ref="A16:D17"/>
    <mergeCell ref="E16:H16"/>
    <mergeCell ref="I16:Q16"/>
    <mergeCell ref="R16:AA16"/>
    <mergeCell ref="I18:Q18"/>
    <mergeCell ref="R18:AA18"/>
    <mergeCell ref="AB18:AI18"/>
    <mergeCell ref="O26:AC26"/>
    <mergeCell ref="J24:M24"/>
    <mergeCell ref="J28:O29"/>
    <mergeCell ref="P28:V29"/>
    <mergeCell ref="W28:AB29"/>
    <mergeCell ref="AC28:AI29"/>
    <mergeCell ref="H37:I37"/>
    <mergeCell ref="E30:F30"/>
    <mergeCell ref="E31:F31"/>
    <mergeCell ref="E32:F32"/>
    <mergeCell ref="E33:F33"/>
    <mergeCell ref="E34:F34"/>
    <mergeCell ref="E35:F35"/>
    <mergeCell ref="E36:F36"/>
    <mergeCell ref="AM30:AN30"/>
    <mergeCell ref="AM31:AN31"/>
    <mergeCell ref="AM32:AN32"/>
    <mergeCell ref="AM33:AN33"/>
    <mergeCell ref="AM34:AN34"/>
    <mergeCell ref="AM35:AN35"/>
    <mergeCell ref="AM36:AN36"/>
  </mergeCells>
  <dataValidations count="2">
    <dataValidation type="list" allowBlank="1" showInputMessage="1" showErrorMessage="1" sqref="R21:AI21">
      <formula1>$AR$22:$AR$23</formula1>
    </dataValidation>
    <dataValidation type="list" allowBlank="1" showInputMessage="1" showErrorMessage="1" sqref="R22:AI22">
      <formula1>$AT$29:$AT$30</formula1>
    </dataValidation>
  </dataValidation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www.umv.gov.co111311&amp;C&amp;6PRO-FM-022
Página 1 de 1</oddFooter>
  </headerFooter>
  <ignoredErrors>
    <ignoredError sqref="AF24:AI26 J24:M25 I18:AA20"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Y43:AI43</xm:sqref>
        </x14:dataValidation>
        <x14:dataValidation type="list" allowBlank="1" showInputMessage="1" showErrorMessage="1">
          <x14:formula1>
            <xm:f>firmas!$A$2:$A$31</xm:f>
          </x14:formula1>
          <xm:sqref>G43:L43</xm:sqref>
        </x14:dataValidation>
        <x14:dataValidation type="list" allowBlank="1" showInputMessage="1" showErrorMessage="1">
          <x14:formula1>
            <xm:f>firmas!$A$33:$A$35</xm:f>
          </x14:formula1>
          <xm:sqref>M43:X43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I34"/>
  <sheetViews>
    <sheetView showGridLines="0" view="pageBreakPreview" topLeftCell="A25" zoomScaleSheetLayoutView="100" workbookViewId="0">
      <selection activeCell="W30" sqref="L30:AJ30"/>
    </sheetView>
  </sheetViews>
  <sheetFormatPr baseColWidth="10" defaultColWidth="2.7109375" defaultRowHeight="12.95" customHeight="1"/>
  <cols>
    <col min="1" max="17" width="2" style="241" customWidth="1"/>
    <col min="18" max="22" width="2.5703125" style="241" customWidth="1"/>
    <col min="23" max="23" width="1.85546875" style="241" customWidth="1"/>
    <col min="24" max="24" width="1.7109375" style="241" customWidth="1"/>
    <col min="25" max="25" width="2" style="241" customWidth="1"/>
    <col min="26" max="26" width="1.7109375" style="241" customWidth="1"/>
    <col min="27" max="27" width="2.85546875" style="241" customWidth="1"/>
    <col min="28" max="28" width="1.85546875" style="241" customWidth="1"/>
    <col min="29" max="32" width="2" style="241" customWidth="1"/>
    <col min="33" max="33" width="1.42578125" style="241" customWidth="1"/>
    <col min="34" max="34" width="1.28515625" style="241" customWidth="1"/>
    <col min="35" max="35" width="0.42578125" style="241" customWidth="1"/>
    <col min="36" max="36" width="2" style="241" customWidth="1"/>
    <col min="37" max="37" width="2.7109375" style="241" customWidth="1"/>
    <col min="38" max="39" width="2" style="241" customWidth="1"/>
    <col min="40" max="40" width="2.7109375" style="241" customWidth="1"/>
    <col min="41" max="41" width="2" style="241" customWidth="1"/>
    <col min="42" max="42" width="1.42578125" style="241" customWidth="1"/>
    <col min="43" max="48" width="2" style="241" customWidth="1"/>
    <col min="49" max="256" width="2.7109375" style="241"/>
    <col min="257" max="304" width="2.85546875" style="241" customWidth="1"/>
    <col min="305" max="512" width="2.7109375" style="241"/>
    <col min="513" max="560" width="2.85546875" style="241" customWidth="1"/>
    <col min="561" max="768" width="2.7109375" style="241"/>
    <col min="769" max="816" width="2.85546875" style="241" customWidth="1"/>
    <col min="817" max="1024" width="2.7109375" style="241"/>
    <col min="1025" max="1072" width="2.85546875" style="241" customWidth="1"/>
    <col min="1073" max="1280" width="2.7109375" style="241"/>
    <col min="1281" max="1328" width="2.85546875" style="241" customWidth="1"/>
    <col min="1329" max="1536" width="2.7109375" style="241"/>
    <col min="1537" max="1584" width="2.85546875" style="241" customWidth="1"/>
    <col min="1585" max="1792" width="2.7109375" style="241"/>
    <col min="1793" max="1840" width="2.85546875" style="241" customWidth="1"/>
    <col min="1841" max="2048" width="2.7109375" style="241"/>
    <col min="2049" max="2096" width="2.85546875" style="241" customWidth="1"/>
    <col min="2097" max="2304" width="2.7109375" style="241"/>
    <col min="2305" max="2352" width="2.85546875" style="241" customWidth="1"/>
    <col min="2353" max="2560" width="2.7109375" style="241"/>
    <col min="2561" max="2608" width="2.85546875" style="241" customWidth="1"/>
    <col min="2609" max="2816" width="2.7109375" style="241"/>
    <col min="2817" max="2864" width="2.85546875" style="241" customWidth="1"/>
    <col min="2865" max="3072" width="2.7109375" style="241"/>
    <col min="3073" max="3120" width="2.85546875" style="241" customWidth="1"/>
    <col min="3121" max="3328" width="2.7109375" style="241"/>
    <col min="3329" max="3376" width="2.85546875" style="241" customWidth="1"/>
    <col min="3377" max="3584" width="2.7109375" style="241"/>
    <col min="3585" max="3632" width="2.85546875" style="241" customWidth="1"/>
    <col min="3633" max="3840" width="2.7109375" style="241"/>
    <col min="3841" max="3888" width="2.85546875" style="241" customWidth="1"/>
    <col min="3889" max="4096" width="2.7109375" style="241"/>
    <col min="4097" max="4144" width="2.85546875" style="241" customWidth="1"/>
    <col min="4145" max="4352" width="2.7109375" style="241"/>
    <col min="4353" max="4400" width="2.85546875" style="241" customWidth="1"/>
    <col min="4401" max="4608" width="2.7109375" style="241"/>
    <col min="4609" max="4656" width="2.85546875" style="241" customWidth="1"/>
    <col min="4657" max="4864" width="2.7109375" style="241"/>
    <col min="4865" max="4912" width="2.85546875" style="241" customWidth="1"/>
    <col min="4913" max="5120" width="2.7109375" style="241"/>
    <col min="5121" max="5168" width="2.85546875" style="241" customWidth="1"/>
    <col min="5169" max="5376" width="2.7109375" style="241"/>
    <col min="5377" max="5424" width="2.85546875" style="241" customWidth="1"/>
    <col min="5425" max="5632" width="2.7109375" style="241"/>
    <col min="5633" max="5680" width="2.85546875" style="241" customWidth="1"/>
    <col min="5681" max="5888" width="2.7109375" style="241"/>
    <col min="5889" max="5936" width="2.85546875" style="241" customWidth="1"/>
    <col min="5937" max="6144" width="2.7109375" style="241"/>
    <col min="6145" max="6192" width="2.85546875" style="241" customWidth="1"/>
    <col min="6193" max="6400" width="2.7109375" style="241"/>
    <col min="6401" max="6448" width="2.85546875" style="241" customWidth="1"/>
    <col min="6449" max="6656" width="2.7109375" style="241"/>
    <col min="6657" max="6704" width="2.85546875" style="241" customWidth="1"/>
    <col min="6705" max="6912" width="2.7109375" style="241"/>
    <col min="6913" max="6960" width="2.85546875" style="241" customWidth="1"/>
    <col min="6961" max="7168" width="2.7109375" style="241"/>
    <col min="7169" max="7216" width="2.85546875" style="241" customWidth="1"/>
    <col min="7217" max="7424" width="2.7109375" style="241"/>
    <col min="7425" max="7472" width="2.85546875" style="241" customWidth="1"/>
    <col min="7473" max="7680" width="2.7109375" style="241"/>
    <col min="7681" max="7728" width="2.85546875" style="241" customWidth="1"/>
    <col min="7729" max="7936" width="2.7109375" style="241"/>
    <col min="7937" max="7984" width="2.85546875" style="241" customWidth="1"/>
    <col min="7985" max="8192" width="2.7109375" style="241"/>
    <col min="8193" max="8240" width="2.85546875" style="241" customWidth="1"/>
    <col min="8241" max="8448" width="2.7109375" style="241"/>
    <col min="8449" max="8496" width="2.85546875" style="241" customWidth="1"/>
    <col min="8497" max="8704" width="2.7109375" style="241"/>
    <col min="8705" max="8752" width="2.85546875" style="241" customWidth="1"/>
    <col min="8753" max="8960" width="2.7109375" style="241"/>
    <col min="8961" max="9008" width="2.85546875" style="241" customWidth="1"/>
    <col min="9009" max="9216" width="2.7109375" style="241"/>
    <col min="9217" max="9264" width="2.85546875" style="241" customWidth="1"/>
    <col min="9265" max="9472" width="2.7109375" style="241"/>
    <col min="9473" max="9520" width="2.85546875" style="241" customWidth="1"/>
    <col min="9521" max="9728" width="2.7109375" style="241"/>
    <col min="9729" max="9776" width="2.85546875" style="241" customWidth="1"/>
    <col min="9777" max="9984" width="2.7109375" style="241"/>
    <col min="9985" max="10032" width="2.85546875" style="241" customWidth="1"/>
    <col min="10033" max="10240" width="2.7109375" style="241"/>
    <col min="10241" max="10288" width="2.85546875" style="241" customWidth="1"/>
    <col min="10289" max="10496" width="2.7109375" style="241"/>
    <col min="10497" max="10544" width="2.85546875" style="241" customWidth="1"/>
    <col min="10545" max="10752" width="2.7109375" style="241"/>
    <col min="10753" max="10800" width="2.85546875" style="241" customWidth="1"/>
    <col min="10801" max="11008" width="2.7109375" style="241"/>
    <col min="11009" max="11056" width="2.85546875" style="241" customWidth="1"/>
    <col min="11057" max="11264" width="2.7109375" style="241"/>
    <col min="11265" max="11312" width="2.85546875" style="241" customWidth="1"/>
    <col min="11313" max="11520" width="2.7109375" style="241"/>
    <col min="11521" max="11568" width="2.85546875" style="241" customWidth="1"/>
    <col min="11569" max="11776" width="2.7109375" style="241"/>
    <col min="11777" max="11824" width="2.85546875" style="241" customWidth="1"/>
    <col min="11825" max="12032" width="2.7109375" style="241"/>
    <col min="12033" max="12080" width="2.85546875" style="241" customWidth="1"/>
    <col min="12081" max="12288" width="2.7109375" style="241"/>
    <col min="12289" max="12336" width="2.85546875" style="241" customWidth="1"/>
    <col min="12337" max="12544" width="2.7109375" style="241"/>
    <col min="12545" max="12592" width="2.85546875" style="241" customWidth="1"/>
    <col min="12593" max="12800" width="2.7109375" style="241"/>
    <col min="12801" max="12848" width="2.85546875" style="241" customWidth="1"/>
    <col min="12849" max="13056" width="2.7109375" style="241"/>
    <col min="13057" max="13104" width="2.85546875" style="241" customWidth="1"/>
    <col min="13105" max="13312" width="2.7109375" style="241"/>
    <col min="13313" max="13360" width="2.85546875" style="241" customWidth="1"/>
    <col min="13361" max="13568" width="2.7109375" style="241"/>
    <col min="13569" max="13616" width="2.85546875" style="241" customWidth="1"/>
    <col min="13617" max="13824" width="2.7109375" style="241"/>
    <col min="13825" max="13872" width="2.85546875" style="241" customWidth="1"/>
    <col min="13873" max="14080" width="2.7109375" style="241"/>
    <col min="14081" max="14128" width="2.85546875" style="241" customWidth="1"/>
    <col min="14129" max="14336" width="2.7109375" style="241"/>
    <col min="14337" max="14384" width="2.85546875" style="241" customWidth="1"/>
    <col min="14385" max="14592" width="2.7109375" style="241"/>
    <col min="14593" max="14640" width="2.85546875" style="241" customWidth="1"/>
    <col min="14641" max="14848" width="2.7109375" style="241"/>
    <col min="14849" max="14896" width="2.85546875" style="241" customWidth="1"/>
    <col min="14897" max="15104" width="2.7109375" style="241"/>
    <col min="15105" max="15152" width="2.85546875" style="241" customWidth="1"/>
    <col min="15153" max="15360" width="2.7109375" style="241"/>
    <col min="15361" max="15408" width="2.85546875" style="241" customWidth="1"/>
    <col min="15409" max="15616" width="2.7109375" style="241"/>
    <col min="15617" max="15664" width="2.85546875" style="241" customWidth="1"/>
    <col min="15665" max="15872" width="2.7109375" style="241"/>
    <col min="15873" max="15920" width="2.85546875" style="241" customWidth="1"/>
    <col min="15921" max="16128" width="2.7109375" style="241"/>
    <col min="16129" max="16176" width="2.85546875" style="241" customWidth="1"/>
    <col min="16177" max="16384" width="2.7109375" style="241"/>
  </cols>
  <sheetData>
    <row r="1" spans="1:61" ht="15" customHeight="1">
      <c r="A1" s="3811"/>
      <c r="B1" s="3812"/>
      <c r="C1" s="3812"/>
      <c r="D1" s="3812"/>
      <c r="E1" s="3812"/>
      <c r="F1" s="3812"/>
      <c r="G1" s="3812"/>
      <c r="H1" s="3812"/>
      <c r="I1" s="3812"/>
      <c r="J1" s="3812"/>
      <c r="K1" s="3813"/>
      <c r="L1" s="3820" t="s">
        <v>37</v>
      </c>
      <c r="M1" s="3821"/>
      <c r="N1" s="3821"/>
      <c r="O1" s="3821"/>
      <c r="P1" s="3821"/>
      <c r="Q1" s="3821"/>
      <c r="R1" s="3821"/>
      <c r="S1" s="3821"/>
      <c r="T1" s="3821"/>
      <c r="U1" s="3821"/>
      <c r="V1" s="3821"/>
      <c r="W1" s="3821"/>
      <c r="X1" s="3821"/>
      <c r="Y1" s="3821"/>
      <c r="Z1" s="3821"/>
      <c r="AA1" s="3821"/>
      <c r="AB1" s="3821"/>
      <c r="AC1" s="3821"/>
      <c r="AD1" s="3821"/>
      <c r="AE1" s="3821"/>
      <c r="AF1" s="3821"/>
      <c r="AG1" s="3821"/>
      <c r="AH1" s="3821"/>
      <c r="AI1" s="3821"/>
      <c r="AJ1" s="3821"/>
      <c r="AK1" s="3821"/>
      <c r="AL1" s="3821"/>
      <c r="AM1" s="3821"/>
      <c r="AN1" s="3821"/>
      <c r="AO1" s="3821"/>
      <c r="AP1" s="3821"/>
      <c r="AQ1" s="3821"/>
      <c r="AR1" s="3821"/>
      <c r="AS1" s="3821"/>
      <c r="AT1" s="3821"/>
      <c r="AU1" s="3821"/>
      <c r="AV1" s="3822"/>
    </row>
    <row r="2" spans="1:61" ht="15" customHeight="1">
      <c r="A2" s="3814"/>
      <c r="B2" s="3815"/>
      <c r="C2" s="3815"/>
      <c r="D2" s="3815"/>
      <c r="E2" s="3815"/>
      <c r="F2" s="3815"/>
      <c r="G2" s="3815"/>
      <c r="H2" s="3815"/>
      <c r="I2" s="3815"/>
      <c r="J2" s="3815"/>
      <c r="K2" s="3816"/>
      <c r="L2" s="3823" t="s">
        <v>217</v>
      </c>
      <c r="M2" s="3824"/>
      <c r="N2" s="3824"/>
      <c r="O2" s="3824"/>
      <c r="P2" s="3824"/>
      <c r="Q2" s="3824"/>
      <c r="R2" s="3824"/>
      <c r="S2" s="3824"/>
      <c r="T2" s="3824"/>
      <c r="U2" s="3824"/>
      <c r="V2" s="3824"/>
      <c r="W2" s="3824"/>
      <c r="X2" s="3824"/>
      <c r="Y2" s="3824"/>
      <c r="Z2" s="3824"/>
      <c r="AA2" s="3824"/>
      <c r="AB2" s="3824"/>
      <c r="AC2" s="3824"/>
      <c r="AD2" s="3824"/>
      <c r="AE2" s="3824"/>
      <c r="AF2" s="3824"/>
      <c r="AG2" s="3824"/>
      <c r="AH2" s="3824"/>
      <c r="AI2" s="3824"/>
      <c r="AJ2" s="3824"/>
      <c r="AK2" s="3824"/>
      <c r="AL2" s="3824"/>
      <c r="AM2" s="3824"/>
      <c r="AN2" s="3824"/>
      <c r="AO2" s="3824"/>
      <c r="AP2" s="3824"/>
      <c r="AQ2" s="3824"/>
      <c r="AR2" s="3824"/>
      <c r="AS2" s="3824"/>
      <c r="AT2" s="3824"/>
      <c r="AU2" s="3824"/>
      <c r="AV2" s="3825"/>
    </row>
    <row r="3" spans="1:61" ht="15" customHeight="1">
      <c r="A3" s="3814"/>
      <c r="B3" s="3815"/>
      <c r="C3" s="3815"/>
      <c r="D3" s="3815"/>
      <c r="E3" s="3815"/>
      <c r="F3" s="3815"/>
      <c r="G3" s="3815"/>
      <c r="H3" s="3815"/>
      <c r="I3" s="3815"/>
      <c r="J3" s="3815"/>
      <c r="K3" s="3816"/>
      <c r="L3" s="3826" t="s">
        <v>630</v>
      </c>
      <c r="M3" s="3827"/>
      <c r="N3" s="3827"/>
      <c r="O3" s="3827"/>
      <c r="P3" s="3827"/>
      <c r="Q3" s="3827"/>
      <c r="R3" s="3827"/>
      <c r="S3" s="3827"/>
      <c r="T3" s="3827"/>
      <c r="U3" s="3827"/>
      <c r="V3" s="3827"/>
      <c r="W3" s="3827"/>
      <c r="X3" s="3827"/>
      <c r="Y3" s="3827"/>
      <c r="Z3" s="3827"/>
      <c r="AA3" s="3827"/>
      <c r="AB3" s="3827"/>
      <c r="AC3" s="3827"/>
      <c r="AD3" s="3827"/>
      <c r="AE3" s="3827"/>
      <c r="AF3" s="3827"/>
      <c r="AG3" s="3827"/>
      <c r="AH3" s="3827"/>
      <c r="AI3" s="3827"/>
      <c r="AJ3" s="3827"/>
      <c r="AK3" s="3827"/>
      <c r="AL3" s="3827"/>
      <c r="AM3" s="3827"/>
      <c r="AN3" s="3827"/>
      <c r="AO3" s="3827"/>
      <c r="AP3" s="3827"/>
      <c r="AQ3" s="3827"/>
      <c r="AR3" s="3827"/>
      <c r="AS3" s="3827"/>
      <c r="AT3" s="3827"/>
      <c r="AU3" s="3827"/>
      <c r="AV3" s="3828"/>
    </row>
    <row r="4" spans="1:61" ht="15" customHeight="1">
      <c r="A4" s="3814"/>
      <c r="B4" s="3815"/>
      <c r="C4" s="3815"/>
      <c r="D4" s="3815"/>
      <c r="E4" s="3815"/>
      <c r="F4" s="3815"/>
      <c r="G4" s="3815"/>
      <c r="H4" s="3815"/>
      <c r="I4" s="3815"/>
      <c r="J4" s="3815"/>
      <c r="K4" s="3816"/>
      <c r="L4" s="3829" t="s">
        <v>218</v>
      </c>
      <c r="M4" s="3830"/>
      <c r="N4" s="3830"/>
      <c r="O4" s="3830"/>
      <c r="P4" s="3830"/>
      <c r="Q4" s="3830"/>
      <c r="R4" s="3830"/>
      <c r="S4" s="3830"/>
      <c r="T4" s="3830"/>
      <c r="U4" s="3830"/>
      <c r="V4" s="3830"/>
      <c r="W4" s="3830"/>
      <c r="X4" s="3830"/>
      <c r="Y4" s="3830"/>
      <c r="Z4" s="3830"/>
      <c r="AA4" s="3830"/>
      <c r="AB4" s="3830"/>
      <c r="AC4" s="3830"/>
      <c r="AD4" s="3831"/>
      <c r="AE4" s="3829" t="s">
        <v>579</v>
      </c>
      <c r="AF4" s="3830"/>
      <c r="AG4" s="3830"/>
      <c r="AH4" s="3830"/>
      <c r="AI4" s="3830"/>
      <c r="AJ4" s="3830"/>
      <c r="AK4" s="3830"/>
      <c r="AL4" s="3830"/>
      <c r="AM4" s="3830"/>
      <c r="AN4" s="3830"/>
      <c r="AO4" s="3830"/>
      <c r="AP4" s="3830"/>
      <c r="AQ4" s="3830"/>
      <c r="AR4" s="3830"/>
      <c r="AS4" s="3830"/>
      <c r="AT4" s="3830"/>
      <c r="AU4" s="3830"/>
      <c r="AV4" s="3832"/>
    </row>
    <row r="5" spans="1:61" ht="15" customHeight="1">
      <c r="A5" s="3817"/>
      <c r="B5" s="3818"/>
      <c r="C5" s="3818"/>
      <c r="D5" s="3818"/>
      <c r="E5" s="3818"/>
      <c r="F5" s="3818"/>
      <c r="G5" s="3818"/>
      <c r="H5" s="3818"/>
      <c r="I5" s="3818"/>
      <c r="J5" s="3818"/>
      <c r="K5" s="3819"/>
      <c r="L5" s="3833" t="s">
        <v>638</v>
      </c>
      <c r="M5" s="3834"/>
      <c r="N5" s="3834"/>
      <c r="O5" s="3834"/>
      <c r="P5" s="3834"/>
      <c r="Q5" s="3834"/>
      <c r="R5" s="3834"/>
      <c r="S5" s="3834"/>
      <c r="T5" s="3834"/>
      <c r="U5" s="3834"/>
      <c r="V5" s="3834"/>
      <c r="W5" s="3834"/>
      <c r="X5" s="3834"/>
      <c r="Y5" s="3834"/>
      <c r="Z5" s="3834"/>
      <c r="AA5" s="3834"/>
      <c r="AB5" s="3834"/>
      <c r="AC5" s="3834"/>
      <c r="AD5" s="3834"/>
      <c r="AE5" s="3834"/>
      <c r="AF5" s="3834"/>
      <c r="AG5" s="3834"/>
      <c r="AH5" s="3834"/>
      <c r="AI5" s="3834"/>
      <c r="AJ5" s="3834"/>
      <c r="AK5" s="3834"/>
      <c r="AL5" s="3834"/>
      <c r="AM5" s="3834"/>
      <c r="AN5" s="3834"/>
      <c r="AO5" s="3834"/>
      <c r="AP5" s="3834"/>
      <c r="AQ5" s="3834"/>
      <c r="AR5" s="3834"/>
      <c r="AS5" s="3834"/>
      <c r="AT5" s="3834"/>
      <c r="AU5" s="3834"/>
      <c r="AV5" s="3835"/>
    </row>
    <row r="6" spans="1:61" ht="18" customHeight="1">
      <c r="A6" s="3583" t="s">
        <v>5</v>
      </c>
      <c r="B6" s="3584"/>
      <c r="C6" s="3584"/>
      <c r="D6" s="3584"/>
      <c r="E6" s="3584"/>
      <c r="F6" s="3839" t="str">
        <f>IF('Gradacion '!E6="","",+'Gradacion '!E6)</f>
        <v/>
      </c>
      <c r="G6" s="3839"/>
      <c r="H6" s="3839"/>
      <c r="I6" s="3839"/>
      <c r="J6" s="3839"/>
      <c r="K6" s="3839"/>
      <c r="L6" s="3839"/>
      <c r="M6" s="3839"/>
      <c r="N6" s="3839"/>
      <c r="O6" s="3839"/>
      <c r="P6" s="3839"/>
      <c r="Q6" s="3839"/>
      <c r="R6" s="3839"/>
      <c r="S6" s="3839"/>
      <c r="T6" s="3839"/>
      <c r="U6" s="3839"/>
      <c r="V6" s="3839"/>
      <c r="W6" s="3839"/>
      <c r="X6" s="3839"/>
      <c r="Y6" s="3839"/>
      <c r="Z6" s="3839"/>
      <c r="AA6" s="3839"/>
      <c r="AB6" s="3839"/>
      <c r="AC6" s="3839"/>
      <c r="AD6" s="2362" t="s">
        <v>324</v>
      </c>
      <c r="AE6" s="2362"/>
      <c r="AF6" s="2362"/>
      <c r="AG6" s="2362"/>
      <c r="AH6" s="2362"/>
      <c r="AI6" s="2362"/>
      <c r="AJ6" s="2362"/>
      <c r="AK6" s="2362"/>
      <c r="AL6" s="2362"/>
      <c r="AM6" s="2134"/>
      <c r="AN6" s="2134"/>
      <c r="AO6" s="2134"/>
      <c r="AP6" s="2134"/>
      <c r="AQ6" s="2134"/>
      <c r="AR6" s="2134"/>
      <c r="AS6" s="2134"/>
      <c r="AT6" s="2134"/>
      <c r="AU6" s="2134"/>
      <c r="AV6" s="2135"/>
    </row>
    <row r="7" spans="1:61" ht="18" customHeight="1">
      <c r="A7" s="3481" t="s">
        <v>17</v>
      </c>
      <c r="B7" s="3482"/>
      <c r="C7" s="3482"/>
      <c r="D7" s="3482"/>
      <c r="E7" s="3482"/>
      <c r="F7" s="3806" t="str">
        <f>IF('Gradacion '!E7="","",+'Gradacion '!E7)</f>
        <v/>
      </c>
      <c r="G7" s="3806"/>
      <c r="H7" s="3806"/>
      <c r="I7" s="3806"/>
      <c r="J7" s="3806"/>
      <c r="K7" s="3806"/>
      <c r="L7" s="3806"/>
      <c r="M7" s="3806"/>
      <c r="N7" s="3806"/>
      <c r="O7" s="3806"/>
      <c r="P7" s="3836" t="s">
        <v>18</v>
      </c>
      <c r="Q7" s="3836"/>
      <c r="R7" s="3836"/>
      <c r="S7" s="3836"/>
      <c r="T7" s="3836"/>
      <c r="U7" s="3806" t="str">
        <f>IF('Gradacion '!O7="","",'Gradacion '!O7)</f>
        <v/>
      </c>
      <c r="V7" s="3806"/>
      <c r="W7" s="3806"/>
      <c r="X7" s="3806"/>
      <c r="Y7" s="3806"/>
      <c r="Z7" s="3806"/>
      <c r="AA7" s="3806"/>
      <c r="AB7" s="3806"/>
      <c r="AC7" s="3806"/>
      <c r="AD7" s="3482" t="s">
        <v>40</v>
      </c>
      <c r="AE7" s="3482"/>
      <c r="AF7" s="3482"/>
      <c r="AG7" s="3482"/>
      <c r="AH7" s="3482"/>
      <c r="AI7" s="3482"/>
      <c r="AJ7" s="3482"/>
      <c r="AK7" s="3482"/>
      <c r="AL7" s="3482"/>
      <c r="AM7" s="3840" t="str">
        <f>IF('Gradacion '!AB7="","",+'Gradacion '!AB7)</f>
        <v/>
      </c>
      <c r="AN7" s="3840"/>
      <c r="AO7" s="3840"/>
      <c r="AP7" s="3840"/>
      <c r="AQ7" s="3840"/>
      <c r="AR7" s="3840"/>
      <c r="AS7" s="3840"/>
      <c r="AT7" s="3840"/>
      <c r="AU7" s="3840"/>
      <c r="AV7" s="3841"/>
    </row>
    <row r="8" spans="1:61" ht="18" customHeight="1">
      <c r="A8" s="3481" t="s">
        <v>465</v>
      </c>
      <c r="B8" s="3482"/>
      <c r="C8" s="3482"/>
      <c r="D8" s="3482"/>
      <c r="E8" s="3482"/>
      <c r="F8" s="3806" t="str">
        <f>IF('Gradacion '!E8="","",+'Gradacion '!E8)</f>
        <v/>
      </c>
      <c r="G8" s="3806"/>
      <c r="H8" s="3806"/>
      <c r="I8" s="3806"/>
      <c r="J8" s="3806"/>
      <c r="K8" s="3806"/>
      <c r="L8" s="3806"/>
      <c r="M8" s="3806"/>
      <c r="N8" s="3806"/>
      <c r="O8" s="3806"/>
      <c r="P8" s="3589" t="s">
        <v>19</v>
      </c>
      <c r="Q8" s="3589"/>
      <c r="R8" s="3589"/>
      <c r="S8" s="3589"/>
      <c r="T8" s="3589"/>
      <c r="U8" s="3484" t="str">
        <f>IF('Gradacion '!O8="","",'Gradacion '!O8)</f>
        <v/>
      </c>
      <c r="V8" s="3484"/>
      <c r="W8" s="3484"/>
      <c r="X8" s="3484"/>
      <c r="Y8" s="3484"/>
      <c r="Z8" s="3484"/>
      <c r="AA8" s="3484"/>
      <c r="AB8" s="3484"/>
      <c r="AC8" s="3484"/>
      <c r="AD8" s="3482" t="s">
        <v>407</v>
      </c>
      <c r="AE8" s="3482"/>
      <c r="AF8" s="3482"/>
      <c r="AG8" s="3482"/>
      <c r="AH8" s="3482"/>
      <c r="AI8" s="3482"/>
      <c r="AJ8" s="3482"/>
      <c r="AK8" s="3482"/>
      <c r="AL8" s="3482"/>
      <c r="AM8" s="3715" t="str">
        <f>IF('Gradacion '!AB8="","",+'Gradacion '!AB8)</f>
        <v/>
      </c>
      <c r="AN8" s="3715"/>
      <c r="AO8" s="3715"/>
      <c r="AP8" s="3715"/>
      <c r="AQ8" s="3715"/>
      <c r="AR8" s="3715"/>
      <c r="AS8" s="3715"/>
      <c r="AT8" s="3715"/>
      <c r="AU8" s="3715"/>
      <c r="AV8" s="3716"/>
    </row>
    <row r="9" spans="1:61" ht="18" customHeight="1">
      <c r="A9" s="3837" t="s">
        <v>6</v>
      </c>
      <c r="B9" s="3838"/>
      <c r="C9" s="3838"/>
      <c r="D9" s="3838"/>
      <c r="E9" s="3838"/>
      <c r="F9" s="3807" t="str">
        <f>IF('Gradacion '!E9="","",+'Gradacion '!E9)</f>
        <v/>
      </c>
      <c r="G9" s="3807"/>
      <c r="H9" s="3807"/>
      <c r="I9" s="3807"/>
      <c r="J9" s="3807"/>
      <c r="K9" s="3807"/>
      <c r="L9" s="3807"/>
      <c r="M9" s="3807"/>
      <c r="N9" s="3807"/>
      <c r="O9" s="3807"/>
      <c r="P9" s="3807"/>
      <c r="Q9" s="3807"/>
      <c r="R9" s="3807"/>
      <c r="S9" s="3807"/>
      <c r="T9" s="3807"/>
      <c r="U9" s="3807"/>
      <c r="V9" s="3807"/>
      <c r="W9" s="3807"/>
      <c r="X9" s="3807"/>
      <c r="Y9" s="3807"/>
      <c r="Z9" s="3807"/>
      <c r="AA9" s="3807"/>
      <c r="AB9" s="3807"/>
      <c r="AC9" s="3807"/>
      <c r="AD9" s="3808" t="s">
        <v>633</v>
      </c>
      <c r="AE9" s="3808"/>
      <c r="AF9" s="3808"/>
      <c r="AG9" s="3808"/>
      <c r="AH9" s="3808"/>
      <c r="AI9" s="3808"/>
      <c r="AJ9" s="3808"/>
      <c r="AK9" s="3808"/>
      <c r="AL9" s="3808"/>
      <c r="AM9" s="3809" t="str">
        <f>IF('Gradacion '!AB9="","",+'Gradacion '!AB9)</f>
        <v/>
      </c>
      <c r="AN9" s="3809"/>
      <c r="AO9" s="3809"/>
      <c r="AP9" s="3809"/>
      <c r="AQ9" s="3809"/>
      <c r="AR9" s="3809"/>
      <c r="AS9" s="3809"/>
      <c r="AT9" s="3809"/>
      <c r="AU9" s="3809"/>
      <c r="AV9" s="3810"/>
      <c r="BD9" s="265"/>
      <c r="BE9" s="265"/>
      <c r="BF9" s="265"/>
      <c r="BG9" s="265"/>
      <c r="BH9" s="265"/>
      <c r="BI9" s="265"/>
    </row>
    <row r="10" spans="1:61" ht="20.100000000000001" customHeight="1">
      <c r="A10" s="3778" t="s">
        <v>429</v>
      </c>
      <c r="B10" s="3779"/>
      <c r="C10" s="3779"/>
      <c r="D10" s="3779"/>
      <c r="E10" s="3779"/>
      <c r="F10" s="3779"/>
      <c r="G10" s="3779"/>
      <c r="H10" s="3779"/>
      <c r="I10" s="3779"/>
      <c r="J10" s="3779"/>
      <c r="K10" s="3779"/>
      <c r="L10" s="3779"/>
      <c r="M10" s="3779"/>
      <c r="N10" s="3779"/>
      <c r="O10" s="3779"/>
      <c r="P10" s="3779"/>
      <c r="Q10" s="3779"/>
      <c r="R10" s="3779"/>
      <c r="S10" s="3779"/>
      <c r="T10" s="3779"/>
      <c r="U10" s="3779"/>
      <c r="V10" s="3779"/>
      <c r="W10" s="3779"/>
      <c r="X10" s="3779"/>
      <c r="Y10" s="3779"/>
      <c r="Z10" s="3779"/>
      <c r="AA10" s="3779"/>
      <c r="AB10" s="3779"/>
      <c r="AC10" s="3779"/>
      <c r="AD10" s="3779"/>
      <c r="AE10" s="3779"/>
      <c r="AF10" s="3779"/>
      <c r="AG10" s="3779"/>
      <c r="AH10" s="3779"/>
      <c r="AI10" s="3779"/>
      <c r="AJ10" s="3779"/>
      <c r="AK10" s="3779"/>
      <c r="AL10" s="3779"/>
      <c r="AM10" s="3779"/>
      <c r="AN10" s="3779"/>
      <c r="AO10" s="3779"/>
      <c r="AP10" s="3779"/>
      <c r="AQ10" s="3779"/>
      <c r="AR10" s="3779"/>
      <c r="AS10" s="3779"/>
      <c r="AT10" s="3779"/>
      <c r="AU10" s="3779"/>
      <c r="AV10" s="3780"/>
    </row>
    <row r="11" spans="1:61" s="242" customFormat="1" ht="18" customHeight="1">
      <c r="A11" s="3781" t="s">
        <v>210</v>
      </c>
      <c r="B11" s="3782"/>
      <c r="C11" s="3782"/>
      <c r="D11" s="3782"/>
      <c r="E11" s="3782"/>
      <c r="F11" s="3782"/>
      <c r="G11" s="3782"/>
      <c r="H11" s="3782"/>
      <c r="I11" s="3782"/>
      <c r="J11" s="3782"/>
      <c r="K11" s="3782"/>
      <c r="L11" s="3782"/>
      <c r="M11" s="3782"/>
      <c r="N11" s="3782"/>
      <c r="O11" s="3782"/>
      <c r="P11" s="3782"/>
      <c r="Q11" s="3782"/>
      <c r="R11" s="3782"/>
      <c r="S11" s="3782"/>
      <c r="T11" s="3782"/>
      <c r="U11" s="3782"/>
      <c r="V11" s="3782"/>
      <c r="W11" s="3782"/>
      <c r="X11" s="3782"/>
      <c r="Y11" s="3782"/>
      <c r="Z11" s="3782"/>
      <c r="AA11" s="3782"/>
      <c r="AB11" s="3542" t="s">
        <v>53</v>
      </c>
      <c r="AC11" s="3542"/>
      <c r="AD11" s="3542"/>
      <c r="AE11" s="3775" t="s">
        <v>211</v>
      </c>
      <c r="AF11" s="3775"/>
      <c r="AG11" s="3775"/>
      <c r="AH11" s="3775"/>
      <c r="AI11" s="3775"/>
      <c r="AJ11" s="3783"/>
      <c r="AK11" s="3783"/>
      <c r="AL11" s="3783"/>
      <c r="AM11" s="3783"/>
      <c r="AN11" s="3783"/>
      <c r="AO11" s="3783"/>
      <c r="AP11" s="3783"/>
      <c r="AQ11" s="3775" t="s">
        <v>91</v>
      </c>
      <c r="AR11" s="3775"/>
      <c r="AS11" s="3775"/>
      <c r="AT11" s="806"/>
      <c r="AU11" s="806"/>
      <c r="AV11" s="623"/>
    </row>
    <row r="12" spans="1:61" ht="18" customHeight="1">
      <c r="A12" s="3784" t="s">
        <v>212</v>
      </c>
      <c r="B12" s="3785"/>
      <c r="C12" s="3785"/>
      <c r="D12" s="3785"/>
      <c r="E12" s="3785"/>
      <c r="F12" s="3785"/>
      <c r="G12" s="3785"/>
      <c r="H12" s="3785"/>
      <c r="I12" s="3785"/>
      <c r="J12" s="3785"/>
      <c r="K12" s="3785"/>
      <c r="L12" s="3785"/>
      <c r="M12" s="3785"/>
      <c r="N12" s="3785"/>
      <c r="O12" s="3785"/>
      <c r="P12" s="3785"/>
      <c r="Q12" s="3785"/>
      <c r="R12" s="3785"/>
      <c r="S12" s="3785"/>
      <c r="T12" s="3785"/>
      <c r="U12" s="3785"/>
      <c r="V12" s="3785"/>
      <c r="W12" s="3785"/>
      <c r="X12" s="3785"/>
      <c r="Y12" s="3785"/>
      <c r="Z12" s="3785"/>
      <c r="AA12" s="3785"/>
      <c r="AB12" s="3774" t="s">
        <v>213</v>
      </c>
      <c r="AC12" s="3774"/>
      <c r="AD12" s="3774"/>
      <c r="AE12" s="3750" t="s">
        <v>211</v>
      </c>
      <c r="AF12" s="3750"/>
      <c r="AG12" s="3750"/>
      <c r="AH12" s="3750"/>
      <c r="AI12" s="3750"/>
      <c r="AJ12" s="3783"/>
      <c r="AK12" s="3783"/>
      <c r="AL12" s="3783"/>
      <c r="AM12" s="3783"/>
      <c r="AN12" s="3783"/>
      <c r="AO12" s="3783"/>
      <c r="AP12" s="3783"/>
      <c r="AQ12" s="3750" t="s">
        <v>91</v>
      </c>
      <c r="AR12" s="3750"/>
      <c r="AS12" s="3750"/>
      <c r="AT12" s="621"/>
      <c r="AU12" s="621"/>
      <c r="AV12" s="624"/>
    </row>
    <row r="13" spans="1:61" s="248" customFormat="1" ht="18" customHeight="1">
      <c r="A13" s="3784" t="s">
        <v>215</v>
      </c>
      <c r="B13" s="3785"/>
      <c r="C13" s="3785"/>
      <c r="D13" s="3785"/>
      <c r="E13" s="3785"/>
      <c r="F13" s="3785"/>
      <c r="G13" s="3785"/>
      <c r="H13" s="3785"/>
      <c r="I13" s="3785"/>
      <c r="J13" s="3785"/>
      <c r="K13" s="3785"/>
      <c r="L13" s="3785"/>
      <c r="M13" s="3785"/>
      <c r="N13" s="3785"/>
      <c r="O13" s="3785"/>
      <c r="P13" s="3785"/>
      <c r="Q13" s="3785"/>
      <c r="R13" s="3785"/>
      <c r="S13" s="3785"/>
      <c r="T13" s="3785"/>
      <c r="U13" s="3785"/>
      <c r="V13" s="3785"/>
      <c r="W13" s="3785"/>
      <c r="X13" s="3785"/>
      <c r="Y13" s="3785"/>
      <c r="Z13" s="3785"/>
      <c r="AA13" s="3785"/>
      <c r="AB13" s="3774" t="s">
        <v>55</v>
      </c>
      <c r="AC13" s="3774"/>
      <c r="AD13" s="3774"/>
      <c r="AE13" s="3750" t="s">
        <v>211</v>
      </c>
      <c r="AF13" s="3750"/>
      <c r="AG13" s="3750"/>
      <c r="AH13" s="3750"/>
      <c r="AI13" s="3750"/>
      <c r="AJ13" s="3783"/>
      <c r="AK13" s="3783"/>
      <c r="AL13" s="3783"/>
      <c r="AM13" s="3783"/>
      <c r="AN13" s="3783"/>
      <c r="AO13" s="3783"/>
      <c r="AP13" s="3783"/>
      <c r="AQ13" s="3750" t="s">
        <v>91</v>
      </c>
      <c r="AR13" s="3750"/>
      <c r="AS13" s="3750"/>
      <c r="AT13" s="621"/>
      <c r="AU13" s="621"/>
      <c r="AV13" s="624"/>
    </row>
    <row r="14" spans="1:61" s="248" customFormat="1" ht="18" customHeight="1">
      <c r="A14" s="3784" t="s">
        <v>214</v>
      </c>
      <c r="B14" s="3785"/>
      <c r="C14" s="3785"/>
      <c r="D14" s="3785"/>
      <c r="E14" s="3785"/>
      <c r="F14" s="3785"/>
      <c r="G14" s="3785"/>
      <c r="H14" s="3785"/>
      <c r="I14" s="3785"/>
      <c r="J14" s="3785"/>
      <c r="K14" s="3785"/>
      <c r="L14" s="3785"/>
      <c r="M14" s="3785"/>
      <c r="N14" s="3785"/>
      <c r="O14" s="3785"/>
      <c r="P14" s="3785"/>
      <c r="Q14" s="3785"/>
      <c r="R14" s="3785"/>
      <c r="S14" s="3785"/>
      <c r="T14" s="3785"/>
      <c r="U14" s="3785"/>
      <c r="V14" s="3785"/>
      <c r="W14" s="3785"/>
      <c r="X14" s="3785"/>
      <c r="Y14" s="3785"/>
      <c r="Z14" s="3785"/>
      <c r="AA14" s="3785"/>
      <c r="AB14" s="3774" t="s">
        <v>54</v>
      </c>
      <c r="AC14" s="3774"/>
      <c r="AD14" s="3774"/>
      <c r="AE14" s="3750" t="s">
        <v>211</v>
      </c>
      <c r="AF14" s="3750"/>
      <c r="AG14" s="3750"/>
      <c r="AH14" s="3750"/>
      <c r="AI14" s="3750"/>
      <c r="AJ14" s="3783"/>
      <c r="AK14" s="3783"/>
      <c r="AL14" s="3783"/>
      <c r="AM14" s="3783"/>
      <c r="AN14" s="3783"/>
      <c r="AO14" s="3783"/>
      <c r="AP14" s="3783"/>
      <c r="AQ14" s="3750" t="s">
        <v>91</v>
      </c>
      <c r="AR14" s="3750"/>
      <c r="AS14" s="3750"/>
      <c r="AT14" s="621"/>
      <c r="AU14" s="621"/>
      <c r="AV14" s="624"/>
    </row>
    <row r="15" spans="1:61" s="248" customFormat="1" ht="19.5" customHeight="1">
      <c r="A15" s="16"/>
      <c r="B15" s="620"/>
      <c r="C15" s="806"/>
      <c r="D15" s="806"/>
      <c r="E15" s="806"/>
      <c r="F15" s="806"/>
      <c r="G15" s="806"/>
      <c r="H15" s="806"/>
      <c r="I15" s="806"/>
      <c r="J15" s="806"/>
      <c r="K15" s="806"/>
      <c r="L15" s="806"/>
      <c r="M15" s="806"/>
      <c r="N15" s="806"/>
      <c r="O15" s="806"/>
      <c r="P15" s="806"/>
      <c r="Q15" s="806"/>
      <c r="R15" s="806"/>
      <c r="S15" s="806"/>
      <c r="T15" s="806"/>
      <c r="U15" s="806"/>
      <c r="V15" s="621"/>
      <c r="W15" s="621"/>
      <c r="X15" s="621"/>
      <c r="Y15" s="621"/>
      <c r="Z15" s="621"/>
      <c r="AA15" s="621"/>
      <c r="AB15" s="621"/>
      <c r="AC15" s="806"/>
      <c r="AD15" s="806"/>
      <c r="AE15" s="806"/>
      <c r="AF15" s="806"/>
      <c r="AG15" s="806"/>
      <c r="AH15" s="806"/>
      <c r="AI15" s="806"/>
      <c r="AJ15" s="806"/>
      <c r="AK15" s="806"/>
      <c r="AL15" s="806"/>
      <c r="AM15" s="806"/>
      <c r="AN15" s="806"/>
      <c r="AO15" s="806"/>
      <c r="AP15" s="806"/>
      <c r="AQ15" s="806"/>
      <c r="AR15" s="806"/>
      <c r="AS15" s="806"/>
      <c r="AT15" s="806"/>
      <c r="AU15" s="806"/>
      <c r="AV15" s="805"/>
    </row>
    <row r="16" spans="1:61" s="248" customFormat="1" ht="15.75" customHeight="1">
      <c r="A16" s="16"/>
      <c r="B16" s="621"/>
      <c r="C16" s="701"/>
      <c r="D16" s="622"/>
      <c r="E16" s="622"/>
      <c r="F16" s="622"/>
      <c r="G16" s="622"/>
      <c r="H16" s="622"/>
      <c r="I16" s="622"/>
      <c r="J16" s="3544" t="s">
        <v>219</v>
      </c>
      <c r="K16" s="3544"/>
      <c r="L16" s="3544"/>
      <c r="M16" s="3544"/>
      <c r="N16" s="3544"/>
      <c r="O16" s="3544"/>
      <c r="P16" s="3544"/>
      <c r="Q16" s="3544"/>
      <c r="R16" s="3544"/>
      <c r="S16" s="3544"/>
      <c r="T16" s="3544"/>
      <c r="U16" s="3544"/>
      <c r="V16" s="3777" t="s">
        <v>418</v>
      </c>
      <c r="W16" s="3777"/>
      <c r="X16" s="3777"/>
      <c r="Y16" s="3777"/>
      <c r="Z16" s="3777"/>
      <c r="AA16" s="3777"/>
      <c r="AB16" s="3777"/>
      <c r="AC16" s="3777"/>
      <c r="AD16" s="3751" t="str">
        <f>IF(AJ11=""," ",0.9975*AJ11/(AJ14+AJ12-AJ13))</f>
        <v xml:space="preserve"> </v>
      </c>
      <c r="AE16" s="3752"/>
      <c r="AF16" s="3752"/>
      <c r="AG16" s="3753"/>
      <c r="AH16" s="701"/>
      <c r="AI16" s="701"/>
      <c r="AJ16" s="701"/>
      <c r="AK16" s="625"/>
      <c r="AL16" s="626"/>
      <c r="AM16" s="626"/>
      <c r="AN16" s="626"/>
      <c r="AO16" s="3805"/>
      <c r="AP16" s="3805"/>
      <c r="AQ16" s="3805"/>
      <c r="AR16" s="3805"/>
      <c r="AS16" s="3776"/>
      <c r="AT16" s="3776"/>
      <c r="AU16" s="3776"/>
      <c r="AV16" s="624"/>
    </row>
    <row r="17" spans="1:48" s="248" customFormat="1" ht="11.25" customHeight="1">
      <c r="A17" s="16"/>
      <c r="B17" s="621"/>
      <c r="C17" s="622"/>
      <c r="D17" s="622"/>
      <c r="E17" s="622"/>
      <c r="F17" s="622"/>
      <c r="G17" s="622"/>
      <c r="H17" s="622"/>
      <c r="I17" s="622"/>
      <c r="J17" s="3544"/>
      <c r="K17" s="3544"/>
      <c r="L17" s="3544"/>
      <c r="M17" s="3544"/>
      <c r="N17" s="3544"/>
      <c r="O17" s="3544"/>
      <c r="P17" s="3544"/>
      <c r="Q17" s="3544"/>
      <c r="R17" s="3544"/>
      <c r="S17" s="3544"/>
      <c r="T17" s="3544"/>
      <c r="U17" s="3544"/>
      <c r="V17" s="3777"/>
      <c r="W17" s="3777"/>
      <c r="X17" s="3777"/>
      <c r="Y17" s="3777"/>
      <c r="Z17" s="3777"/>
      <c r="AA17" s="3777"/>
      <c r="AB17" s="3777"/>
      <c r="AC17" s="3777"/>
      <c r="AD17" s="3754"/>
      <c r="AE17" s="3755"/>
      <c r="AF17" s="3755"/>
      <c r="AG17" s="3756"/>
      <c r="AH17" s="701"/>
      <c r="AI17" s="701"/>
      <c r="AJ17" s="701"/>
      <c r="AK17" s="625"/>
      <c r="AL17" s="627"/>
      <c r="AM17" s="627"/>
      <c r="AN17" s="627"/>
      <c r="AO17" s="3805"/>
      <c r="AP17" s="3805"/>
      <c r="AQ17" s="3805"/>
      <c r="AR17" s="3805"/>
      <c r="AS17" s="3776"/>
      <c r="AT17" s="3776"/>
      <c r="AU17" s="3776"/>
      <c r="AV17" s="624"/>
    </row>
    <row r="18" spans="1:48" s="248" customFormat="1" ht="15.75" customHeight="1">
      <c r="A18" s="16"/>
      <c r="B18" s="621"/>
      <c r="C18" s="621"/>
      <c r="D18" s="621"/>
      <c r="E18" s="621"/>
      <c r="F18" s="621"/>
      <c r="G18" s="621"/>
      <c r="H18" s="621"/>
      <c r="I18" s="621"/>
      <c r="J18" s="621"/>
      <c r="K18" s="621"/>
      <c r="L18" s="621"/>
      <c r="M18" s="621"/>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1"/>
      <c r="AK18" s="621"/>
      <c r="AL18" s="621"/>
      <c r="AM18" s="621"/>
      <c r="AN18" s="621"/>
      <c r="AO18" s="621"/>
      <c r="AP18" s="621"/>
      <c r="AQ18" s="621"/>
      <c r="AR18" s="621"/>
      <c r="AS18" s="621"/>
      <c r="AT18" s="621"/>
      <c r="AU18" s="621"/>
      <c r="AV18" s="624"/>
    </row>
    <row r="19" spans="1:48" s="248" customFormat="1" ht="20.100000000000001" customHeight="1">
      <c r="A19" s="3743" t="s">
        <v>216</v>
      </c>
      <c r="B19" s="3744"/>
      <c r="C19" s="3744"/>
      <c r="D19" s="3744"/>
      <c r="E19" s="3744"/>
      <c r="F19" s="3744"/>
      <c r="G19" s="3744"/>
      <c r="H19" s="3744"/>
      <c r="I19" s="3744"/>
      <c r="J19" s="3744"/>
      <c r="K19" s="3744"/>
      <c r="L19" s="3744"/>
      <c r="M19" s="3744"/>
      <c r="N19" s="3744"/>
      <c r="O19" s="3744"/>
      <c r="P19" s="3744"/>
      <c r="Q19" s="3745"/>
      <c r="R19" s="3743" t="s">
        <v>53</v>
      </c>
      <c r="S19" s="3744"/>
      <c r="T19" s="3744"/>
      <c r="U19" s="3744"/>
      <c r="V19" s="3744"/>
      <c r="W19" s="3743" t="s">
        <v>54</v>
      </c>
      <c r="X19" s="3744"/>
      <c r="Y19" s="3744"/>
      <c r="Z19" s="3744"/>
      <c r="AA19" s="3744"/>
      <c r="AB19" s="3744"/>
      <c r="AC19" s="3744"/>
      <c r="AD19" s="3744"/>
      <c r="AE19" s="3744"/>
      <c r="AF19" s="3744"/>
      <c r="AG19" s="3744"/>
      <c r="AH19" s="3744"/>
      <c r="AI19" s="3744"/>
      <c r="AJ19" s="3744"/>
      <c r="AK19" s="3744"/>
      <c r="AL19" s="3744"/>
      <c r="AM19" s="3744"/>
      <c r="AN19" s="3744"/>
      <c r="AO19" s="3744"/>
      <c r="AP19" s="3744"/>
      <c r="AQ19" s="3745"/>
      <c r="AR19" s="3744" t="s">
        <v>55</v>
      </c>
      <c r="AS19" s="3744"/>
      <c r="AT19" s="3744"/>
      <c r="AU19" s="3744"/>
      <c r="AV19" s="3745"/>
    </row>
    <row r="20" spans="1:48" s="248" customFormat="1" ht="20.100000000000001" customHeight="1">
      <c r="A20" s="3801"/>
      <c r="B20" s="3746"/>
      <c r="C20" s="3746"/>
      <c r="D20" s="3746"/>
      <c r="E20" s="3746"/>
      <c r="F20" s="3746"/>
      <c r="G20" s="3746"/>
      <c r="H20" s="3746"/>
      <c r="I20" s="3746"/>
      <c r="J20" s="3746"/>
      <c r="K20" s="3746"/>
      <c r="L20" s="3746"/>
      <c r="M20" s="3746"/>
      <c r="N20" s="3746"/>
      <c r="O20" s="3746"/>
      <c r="P20" s="3746"/>
      <c r="Q20" s="3747"/>
      <c r="R20" s="3801"/>
      <c r="S20" s="3746"/>
      <c r="T20" s="3746"/>
      <c r="U20" s="3746"/>
      <c r="V20" s="3746"/>
      <c r="W20" s="3801" t="s">
        <v>110</v>
      </c>
      <c r="X20" s="3746"/>
      <c r="Y20" s="3746"/>
      <c r="Z20" s="3746"/>
      <c r="AA20" s="3746"/>
      <c r="AB20" s="3746"/>
      <c r="AC20" s="3746"/>
      <c r="AD20" s="3746"/>
      <c r="AE20" s="3746"/>
      <c r="AF20" s="3746"/>
      <c r="AG20" s="3746"/>
      <c r="AH20" s="3746"/>
      <c r="AI20" s="3746"/>
      <c r="AJ20" s="3746"/>
      <c r="AK20" s="3746"/>
      <c r="AL20" s="3746"/>
      <c r="AM20" s="3746"/>
      <c r="AN20" s="3746"/>
      <c r="AO20" s="3746"/>
      <c r="AP20" s="3746"/>
      <c r="AQ20" s="3747"/>
      <c r="AR20" s="3746"/>
      <c r="AS20" s="3746"/>
      <c r="AT20" s="3746"/>
      <c r="AU20" s="3746"/>
      <c r="AV20" s="3747"/>
    </row>
    <row r="21" spans="1:48" ht="29.25" customHeight="1">
      <c r="A21" s="3802"/>
      <c r="B21" s="3748"/>
      <c r="C21" s="3748"/>
      <c r="D21" s="3748"/>
      <c r="E21" s="3748"/>
      <c r="F21" s="3748"/>
      <c r="G21" s="3748"/>
      <c r="H21" s="3748"/>
      <c r="I21" s="3748"/>
      <c r="J21" s="3748"/>
      <c r="K21" s="3748"/>
      <c r="L21" s="3748"/>
      <c r="M21" s="3748"/>
      <c r="N21" s="3748"/>
      <c r="O21" s="3748"/>
      <c r="P21" s="3748"/>
      <c r="Q21" s="3749"/>
      <c r="R21" s="3802"/>
      <c r="S21" s="3748"/>
      <c r="T21" s="3748"/>
      <c r="U21" s="3748"/>
      <c r="V21" s="3748"/>
      <c r="W21" s="3801" t="s">
        <v>422</v>
      </c>
      <c r="X21" s="3746"/>
      <c r="Y21" s="3746"/>
      <c r="Z21" s="3746"/>
      <c r="AA21" s="3746"/>
      <c r="AB21" s="3746"/>
      <c r="AC21" s="3746"/>
      <c r="AD21" s="3746" t="s">
        <v>423</v>
      </c>
      <c r="AE21" s="3746"/>
      <c r="AF21" s="3746"/>
      <c r="AG21" s="3746"/>
      <c r="AH21" s="3746"/>
      <c r="AI21" s="3746"/>
      <c r="AJ21" s="3746"/>
      <c r="AK21" s="3746" t="s">
        <v>424</v>
      </c>
      <c r="AL21" s="3746"/>
      <c r="AM21" s="3746"/>
      <c r="AN21" s="3746"/>
      <c r="AO21" s="3746"/>
      <c r="AP21" s="3746"/>
      <c r="AQ21" s="3747"/>
      <c r="AR21" s="3748"/>
      <c r="AS21" s="3748"/>
      <c r="AT21" s="3748"/>
      <c r="AU21" s="3748"/>
      <c r="AV21" s="3749"/>
    </row>
    <row r="22" spans="1:48" s="248" customFormat="1" ht="35.1" customHeight="1">
      <c r="A22" s="3788" t="s">
        <v>420</v>
      </c>
      <c r="B22" s="3789"/>
      <c r="C22" s="3789"/>
      <c r="D22" s="3789"/>
      <c r="E22" s="3789"/>
      <c r="F22" s="3789"/>
      <c r="G22" s="3789"/>
      <c r="H22" s="3789"/>
      <c r="I22" s="3789"/>
      <c r="J22" s="3789"/>
      <c r="K22" s="3789"/>
      <c r="L22" s="3789"/>
      <c r="M22" s="3789"/>
      <c r="N22" s="3789"/>
      <c r="O22" s="3789"/>
      <c r="P22" s="3803" t="s">
        <v>419</v>
      </c>
      <c r="Q22" s="3804"/>
      <c r="R22" s="3720"/>
      <c r="S22" s="3720"/>
      <c r="T22" s="3720"/>
      <c r="U22" s="3720"/>
      <c r="V22" s="3720"/>
      <c r="W22" s="3796"/>
      <c r="X22" s="3718"/>
      <c r="Y22" s="3718"/>
      <c r="Z22" s="3718"/>
      <c r="AA22" s="3718"/>
      <c r="AB22" s="3718"/>
      <c r="AC22" s="3797"/>
      <c r="AD22" s="3718"/>
      <c r="AE22" s="3718"/>
      <c r="AF22" s="3718"/>
      <c r="AG22" s="3718"/>
      <c r="AH22" s="3718"/>
      <c r="AI22" s="3718"/>
      <c r="AJ22" s="3718"/>
      <c r="AK22" s="3717"/>
      <c r="AL22" s="3718"/>
      <c r="AM22" s="3718"/>
      <c r="AN22" s="3718"/>
      <c r="AO22" s="3718"/>
      <c r="AP22" s="3718"/>
      <c r="AQ22" s="3719"/>
      <c r="AR22" s="3786"/>
      <c r="AS22" s="3787"/>
      <c r="AT22" s="3787"/>
      <c r="AU22" s="3787"/>
      <c r="AV22" s="3787"/>
    </row>
    <row r="23" spans="1:48" s="248" customFormat="1" ht="35.1" customHeight="1">
      <c r="A23" s="3788" t="s">
        <v>421</v>
      </c>
      <c r="B23" s="3789"/>
      <c r="C23" s="3789"/>
      <c r="D23" s="3789"/>
      <c r="E23" s="3789"/>
      <c r="F23" s="3789"/>
      <c r="G23" s="3789"/>
      <c r="H23" s="3789"/>
      <c r="I23" s="3789"/>
      <c r="J23" s="3789"/>
      <c r="K23" s="3789"/>
      <c r="L23" s="3789"/>
      <c r="M23" s="3789"/>
      <c r="N23" s="3789"/>
      <c r="O23" s="3789"/>
      <c r="P23" s="3803" t="s">
        <v>91</v>
      </c>
      <c r="Q23" s="3804"/>
      <c r="R23" s="3720"/>
      <c r="S23" s="3720"/>
      <c r="T23" s="3720"/>
      <c r="U23" s="3720"/>
      <c r="V23" s="3720"/>
      <c r="W23" s="3790"/>
      <c r="X23" s="3791"/>
      <c r="Y23" s="3791"/>
      <c r="Z23" s="3791"/>
      <c r="AA23" s="3791"/>
      <c r="AB23" s="3791"/>
      <c r="AC23" s="3792"/>
      <c r="AD23" s="3791"/>
      <c r="AE23" s="3791"/>
      <c r="AF23" s="3791"/>
      <c r="AG23" s="3791"/>
      <c r="AH23" s="3791"/>
      <c r="AI23" s="3791"/>
      <c r="AJ23" s="3791"/>
      <c r="AK23" s="3793"/>
      <c r="AL23" s="3794"/>
      <c r="AM23" s="3794"/>
      <c r="AN23" s="3794"/>
      <c r="AO23" s="3794"/>
      <c r="AP23" s="3794"/>
      <c r="AQ23" s="3795"/>
      <c r="AR23" s="3721"/>
      <c r="AS23" s="3722"/>
      <c r="AT23" s="3722"/>
      <c r="AU23" s="3722"/>
      <c r="AV23" s="3722"/>
    </row>
    <row r="24" spans="1:48" s="248" customFormat="1" ht="35.1" customHeight="1">
      <c r="A24" s="3732" t="s">
        <v>513</v>
      </c>
      <c r="B24" s="3733"/>
      <c r="C24" s="3733"/>
      <c r="D24" s="3733"/>
      <c r="E24" s="3733"/>
      <c r="F24" s="3733"/>
      <c r="G24" s="3733"/>
      <c r="H24" s="3733"/>
      <c r="I24" s="3733"/>
      <c r="J24" s="3733"/>
      <c r="K24" s="3733"/>
      <c r="L24" s="3733"/>
      <c r="M24" s="3733"/>
      <c r="N24" s="3733"/>
      <c r="O24" s="3733"/>
      <c r="P24" s="3727" t="s">
        <v>95</v>
      </c>
      <c r="Q24" s="3728"/>
      <c r="R24" s="3737" t="str">
        <f>IF(AJ11=""," ",(100*(R22-(R23/AD16))/R22))</f>
        <v xml:space="preserve"> </v>
      </c>
      <c r="S24" s="3737"/>
      <c r="T24" s="3737"/>
      <c r="U24" s="3737"/>
      <c r="V24" s="3738"/>
      <c r="W24" s="3734"/>
      <c r="X24" s="3735"/>
      <c r="Y24" s="3735"/>
      <c r="Z24" s="3735"/>
      <c r="AA24" s="3735"/>
      <c r="AB24" s="3735"/>
      <c r="AC24" s="3735"/>
      <c r="AD24" s="3735"/>
      <c r="AE24" s="3735"/>
      <c r="AF24" s="3735"/>
      <c r="AG24" s="3735"/>
      <c r="AH24" s="3735"/>
      <c r="AI24" s="3735"/>
      <c r="AJ24" s="3735"/>
      <c r="AK24" s="3735"/>
      <c r="AL24" s="3735"/>
      <c r="AM24" s="3735"/>
      <c r="AN24" s="3735"/>
      <c r="AO24" s="3735"/>
      <c r="AP24" s="3735"/>
      <c r="AQ24" s="3736"/>
      <c r="AR24" s="3723"/>
      <c r="AS24" s="3724"/>
      <c r="AT24" s="3724"/>
      <c r="AU24" s="3724"/>
      <c r="AV24" s="3725"/>
    </row>
    <row r="25" spans="1:48" s="89" customFormat="1" ht="30" customHeight="1">
      <c r="A25" s="3739" t="s">
        <v>20</v>
      </c>
      <c r="B25" s="3740"/>
      <c r="C25" s="3740"/>
      <c r="D25" s="3740"/>
      <c r="E25" s="3740"/>
      <c r="F25" s="3740"/>
      <c r="G25" s="3740"/>
      <c r="H25" s="898"/>
      <c r="I25" s="3741"/>
      <c r="J25" s="3741"/>
      <c r="K25" s="3741"/>
      <c r="L25" s="3741"/>
      <c r="M25" s="3741"/>
      <c r="N25" s="3741"/>
      <c r="O25" s="3741"/>
      <c r="P25" s="3741"/>
      <c r="Q25" s="3741"/>
      <c r="R25" s="3741"/>
      <c r="S25" s="3741"/>
      <c r="T25" s="3741"/>
      <c r="U25" s="3741"/>
      <c r="V25" s="3741"/>
      <c r="W25" s="3741"/>
      <c r="X25" s="3741"/>
      <c r="Y25" s="3741"/>
      <c r="Z25" s="3741"/>
      <c r="AA25" s="3741"/>
      <c r="AB25" s="3741"/>
      <c r="AC25" s="3741"/>
      <c r="AD25" s="3741"/>
      <c r="AE25" s="3741"/>
      <c r="AF25" s="3741"/>
      <c r="AG25" s="3741"/>
      <c r="AH25" s="3741"/>
      <c r="AI25" s="3741"/>
      <c r="AJ25" s="3741"/>
      <c r="AK25" s="3741"/>
      <c r="AL25" s="3741"/>
      <c r="AM25" s="3741"/>
      <c r="AN25" s="3741"/>
      <c r="AO25" s="3741"/>
      <c r="AP25" s="3741"/>
      <c r="AQ25" s="3741"/>
      <c r="AR25" s="3741"/>
      <c r="AS25" s="3741"/>
      <c r="AT25" s="3741"/>
      <c r="AU25" s="3741"/>
      <c r="AV25" s="3742"/>
    </row>
    <row r="26" spans="1:48" s="84" customFormat="1" ht="48" customHeight="1">
      <c r="A26" s="3798"/>
      <c r="B26" s="3799"/>
      <c r="C26" s="3799"/>
      <c r="D26" s="3799"/>
      <c r="E26" s="3799"/>
      <c r="F26" s="3799"/>
      <c r="G26" s="3799"/>
      <c r="H26" s="3799"/>
      <c r="I26" s="3799"/>
      <c r="J26" s="3799"/>
      <c r="K26" s="3799"/>
      <c r="L26" s="3799"/>
      <c r="M26" s="3799"/>
      <c r="N26" s="3799"/>
      <c r="O26" s="3799"/>
      <c r="P26" s="3799"/>
      <c r="Q26" s="3799"/>
      <c r="R26" s="3799"/>
      <c r="S26" s="3799"/>
      <c r="T26" s="3799"/>
      <c r="U26" s="3799"/>
      <c r="V26" s="3799"/>
      <c r="W26" s="3799"/>
      <c r="X26" s="3799"/>
      <c r="Y26" s="3799"/>
      <c r="Z26" s="3799"/>
      <c r="AA26" s="3799"/>
      <c r="AB26" s="3799"/>
      <c r="AC26" s="3799"/>
      <c r="AD26" s="3799"/>
      <c r="AE26" s="3799"/>
      <c r="AF26" s="3799"/>
      <c r="AG26" s="3799"/>
      <c r="AH26" s="3799"/>
      <c r="AI26" s="3799"/>
      <c r="AJ26" s="3799"/>
      <c r="AK26" s="3799"/>
      <c r="AL26" s="3799"/>
      <c r="AM26" s="3799"/>
      <c r="AN26" s="3799"/>
      <c r="AO26" s="3799"/>
      <c r="AP26" s="3799"/>
      <c r="AQ26" s="3799"/>
      <c r="AR26" s="3799"/>
      <c r="AS26" s="3799"/>
      <c r="AT26" s="3799"/>
      <c r="AU26" s="3799"/>
      <c r="AV26" s="3800"/>
    </row>
    <row r="27" spans="1:48" s="84" customFormat="1" ht="15.95" customHeight="1">
      <c r="A27" s="3729"/>
      <c r="B27" s="3730"/>
      <c r="C27" s="3730"/>
      <c r="D27" s="3730"/>
      <c r="E27" s="3730"/>
      <c r="F27" s="3730"/>
      <c r="G27" s="3730"/>
      <c r="H27" s="3730"/>
      <c r="I27" s="3730"/>
      <c r="J27" s="3730"/>
      <c r="K27" s="3731"/>
      <c r="L27" s="2195" t="s">
        <v>10</v>
      </c>
      <c r="M27" s="1742"/>
      <c r="N27" s="1742"/>
      <c r="O27" s="1742"/>
      <c r="P27" s="1742"/>
      <c r="Q27" s="1742"/>
      <c r="R27" s="1742"/>
      <c r="S27" s="1742"/>
      <c r="T27" s="1742"/>
      <c r="U27" s="1742"/>
      <c r="V27" s="2196"/>
      <c r="W27" s="2195" t="s">
        <v>22</v>
      </c>
      <c r="X27" s="1742"/>
      <c r="Y27" s="1742"/>
      <c r="Z27" s="1742"/>
      <c r="AA27" s="1742"/>
      <c r="AB27" s="1742"/>
      <c r="AC27" s="1742"/>
      <c r="AD27" s="1742"/>
      <c r="AE27" s="1742"/>
      <c r="AF27" s="1742"/>
      <c r="AG27" s="1742"/>
      <c r="AH27" s="1742"/>
      <c r="AI27" s="1742"/>
      <c r="AJ27" s="2196"/>
      <c r="AK27" s="1902" t="s">
        <v>23</v>
      </c>
      <c r="AL27" s="1903"/>
      <c r="AM27" s="1903"/>
      <c r="AN27" s="1903"/>
      <c r="AO27" s="1903"/>
      <c r="AP27" s="1903"/>
      <c r="AQ27" s="1903"/>
      <c r="AR27" s="1903"/>
      <c r="AS27" s="1903"/>
      <c r="AT27" s="1903"/>
      <c r="AU27" s="1903"/>
      <c r="AV27" s="1904"/>
    </row>
    <row r="28" spans="1:48" s="84" customFormat="1" ht="45" customHeight="1">
      <c r="A28" s="3765" t="s">
        <v>13</v>
      </c>
      <c r="B28" s="3766"/>
      <c r="C28" s="3766"/>
      <c r="D28" s="3766"/>
      <c r="E28" s="3766"/>
      <c r="F28" s="3766"/>
      <c r="G28" s="3766"/>
      <c r="H28" s="3766"/>
      <c r="I28" s="3766"/>
      <c r="J28" s="3766"/>
      <c r="K28" s="3767"/>
      <c r="L28" s="3763"/>
      <c r="M28" s="3492"/>
      <c r="N28" s="3492"/>
      <c r="O28" s="3492"/>
      <c r="P28" s="3492"/>
      <c r="Q28" s="3492"/>
      <c r="R28" s="3492"/>
      <c r="S28" s="3492"/>
      <c r="T28" s="3492"/>
      <c r="U28" s="3492"/>
      <c r="V28" s="3764"/>
      <c r="W28" s="3763"/>
      <c r="X28" s="3492"/>
      <c r="Y28" s="3492"/>
      <c r="Z28" s="3492"/>
      <c r="AA28" s="3492"/>
      <c r="AB28" s="3492"/>
      <c r="AC28" s="3492"/>
      <c r="AD28" s="3492"/>
      <c r="AE28" s="3492"/>
      <c r="AF28" s="3492"/>
      <c r="AG28" s="3492"/>
      <c r="AH28" s="3492"/>
      <c r="AI28" s="3492"/>
      <c r="AJ28" s="3764"/>
      <c r="AK28" s="3763"/>
      <c r="AL28" s="3492"/>
      <c r="AM28" s="3492"/>
      <c r="AN28" s="3492"/>
      <c r="AO28" s="3492"/>
      <c r="AP28" s="3492"/>
      <c r="AQ28" s="3492"/>
      <c r="AR28" s="3492"/>
      <c r="AS28" s="3492"/>
      <c r="AT28" s="3492"/>
      <c r="AU28" s="3492"/>
      <c r="AV28" s="3764"/>
    </row>
    <row r="29" spans="1:48" s="84" customFormat="1" ht="15.95" customHeight="1">
      <c r="A29" s="3768" t="s">
        <v>610</v>
      </c>
      <c r="B29" s="3769"/>
      <c r="C29" s="3769"/>
      <c r="D29" s="3769"/>
      <c r="E29" s="3769"/>
      <c r="F29" s="3769"/>
      <c r="G29" s="3769"/>
      <c r="H29" s="3769"/>
      <c r="I29" s="3769"/>
      <c r="J29" s="3769"/>
      <c r="K29" s="3770"/>
      <c r="L29" s="3757" t="s">
        <v>560</v>
      </c>
      <c r="M29" s="3758"/>
      <c r="N29" s="3758"/>
      <c r="O29" s="3758"/>
      <c r="P29" s="3758"/>
      <c r="Q29" s="3758"/>
      <c r="R29" s="3758"/>
      <c r="S29" s="3758"/>
      <c r="T29" s="3758"/>
      <c r="U29" s="3758"/>
      <c r="V29" s="3759"/>
      <c r="W29" s="3757" t="s">
        <v>560</v>
      </c>
      <c r="X29" s="3758"/>
      <c r="Y29" s="3758"/>
      <c r="Z29" s="3758"/>
      <c r="AA29" s="3758"/>
      <c r="AB29" s="3758"/>
      <c r="AC29" s="3758"/>
      <c r="AD29" s="3758"/>
      <c r="AE29" s="3758"/>
      <c r="AF29" s="3758"/>
      <c r="AG29" s="3758"/>
      <c r="AH29" s="3758"/>
      <c r="AI29" s="3758"/>
      <c r="AJ29" s="3759"/>
      <c r="AK29" s="3757" t="s">
        <v>560</v>
      </c>
      <c r="AL29" s="3758"/>
      <c r="AM29" s="3758"/>
      <c r="AN29" s="3758"/>
      <c r="AO29" s="3758"/>
      <c r="AP29" s="3758"/>
      <c r="AQ29" s="3758"/>
      <c r="AR29" s="3758"/>
      <c r="AS29" s="3758"/>
      <c r="AT29" s="3758"/>
      <c r="AU29" s="3758"/>
      <c r="AV29" s="3759"/>
    </row>
    <row r="30" spans="1:48" s="84" customFormat="1" ht="15.95" customHeight="1" thickBot="1">
      <c r="A30" s="3771" t="s">
        <v>14</v>
      </c>
      <c r="B30" s="3772"/>
      <c r="C30" s="3772"/>
      <c r="D30" s="3772"/>
      <c r="E30" s="3772"/>
      <c r="F30" s="3772"/>
      <c r="G30" s="3772"/>
      <c r="H30" s="3772"/>
      <c r="I30" s="3772"/>
      <c r="J30" s="3772"/>
      <c r="K30" s="3773"/>
      <c r="L30" s="3760" t="str">
        <f>IF(L29="--","",VLOOKUP(L29,firmas!A2:B31,2,0))</f>
        <v/>
      </c>
      <c r="M30" s="3761"/>
      <c r="N30" s="3761"/>
      <c r="O30" s="3761"/>
      <c r="P30" s="3761"/>
      <c r="Q30" s="3761"/>
      <c r="R30" s="3761"/>
      <c r="S30" s="3761"/>
      <c r="T30" s="3761"/>
      <c r="U30" s="3761"/>
      <c r="V30" s="3762"/>
      <c r="W30" s="3760" t="str">
        <f>IF(W29="--","",VLOOKUP(W29,firmas!A33:B35,2,0))</f>
        <v/>
      </c>
      <c r="X30" s="3761"/>
      <c r="Y30" s="3761"/>
      <c r="Z30" s="3761"/>
      <c r="AA30" s="3761"/>
      <c r="AB30" s="3761"/>
      <c r="AC30" s="3761"/>
      <c r="AD30" s="3761"/>
      <c r="AE30" s="3761"/>
      <c r="AF30" s="3761"/>
      <c r="AG30" s="3761"/>
      <c r="AH30" s="3761"/>
      <c r="AI30" s="3761"/>
      <c r="AJ30" s="3762"/>
      <c r="AK30" s="3760" t="str">
        <f>IF(AK29="--","",VLOOKUP(AK29,firmas!A37:B38,2))</f>
        <v/>
      </c>
      <c r="AL30" s="3761"/>
      <c r="AM30" s="3761"/>
      <c r="AN30" s="3761"/>
      <c r="AO30" s="3761"/>
      <c r="AP30" s="3761"/>
      <c r="AQ30" s="3761"/>
      <c r="AR30" s="3761"/>
      <c r="AS30" s="3761"/>
      <c r="AT30" s="3761"/>
      <c r="AU30" s="3761"/>
      <c r="AV30" s="3762"/>
    </row>
    <row r="31" spans="1:48" s="91" customFormat="1" ht="15" customHeight="1" thickTop="1" thickBot="1">
      <c r="A31" s="3726" t="s">
        <v>24</v>
      </c>
      <c r="B31" s="3322"/>
      <c r="C31" s="3322"/>
      <c r="D31" s="3322"/>
      <c r="E31" s="3322"/>
      <c r="F31" s="3322"/>
      <c r="G31" s="3322"/>
      <c r="H31" s="3322"/>
      <c r="I31" s="3322"/>
      <c r="J31" s="3322"/>
      <c r="K31" s="3322"/>
      <c r="L31" s="3322"/>
      <c r="M31" s="3322"/>
      <c r="N31" s="3322"/>
      <c r="O31" s="3322"/>
      <c r="P31" s="3322"/>
      <c r="Q31" s="3322"/>
      <c r="R31" s="3322"/>
      <c r="S31" s="3322"/>
      <c r="T31" s="3322"/>
      <c r="U31" s="3322"/>
      <c r="V31" s="3322"/>
      <c r="W31" s="3322"/>
      <c r="X31" s="3322"/>
      <c r="Y31" s="3322"/>
      <c r="Z31" s="3322"/>
      <c r="AA31" s="3322"/>
      <c r="AB31" s="3322"/>
      <c r="AC31" s="3322"/>
      <c r="AD31" s="3322"/>
      <c r="AE31" s="3322"/>
      <c r="AF31" s="3322"/>
      <c r="AG31" s="3322"/>
      <c r="AH31" s="3322"/>
      <c r="AI31" s="3322"/>
      <c r="AJ31" s="3322"/>
      <c r="AK31" s="3322"/>
      <c r="AL31" s="3322"/>
      <c r="AM31" s="3322"/>
      <c r="AN31" s="3322"/>
      <c r="AO31" s="3322"/>
      <c r="AP31" s="3322"/>
      <c r="AQ31" s="3322"/>
      <c r="AR31" s="3322"/>
      <c r="AS31" s="3322"/>
      <c r="AT31" s="3322"/>
      <c r="AU31" s="3322"/>
      <c r="AV31" s="3322"/>
    </row>
    <row r="32" spans="1:48" s="84" customFormat="1" ht="21.95" customHeight="1" thickTop="1">
      <c r="A32" s="2048" t="s">
        <v>25</v>
      </c>
      <c r="B32" s="2048"/>
      <c r="C32" s="2048"/>
      <c r="D32" s="2048"/>
      <c r="E32" s="2048"/>
      <c r="F32" s="2048"/>
      <c r="G32" s="2048"/>
      <c r="H32" s="2048"/>
      <c r="I32" s="2048"/>
      <c r="J32" s="2048"/>
      <c r="K32" s="2048"/>
      <c r="L32" s="2048"/>
      <c r="M32" s="2048"/>
      <c r="N32" s="2048"/>
      <c r="O32" s="2048"/>
      <c r="P32" s="2048"/>
      <c r="Q32" s="2048"/>
      <c r="R32" s="2048"/>
      <c r="S32" s="2048"/>
      <c r="T32" s="2048"/>
      <c r="U32" s="2048"/>
      <c r="V32" s="2048"/>
      <c r="W32" s="2048"/>
      <c r="X32" s="2048"/>
      <c r="Y32" s="2048"/>
      <c r="Z32" s="2048"/>
      <c r="AA32" s="2048"/>
      <c r="AB32" s="2048"/>
      <c r="AC32" s="2048"/>
      <c r="AD32" s="2048"/>
      <c r="AE32" s="2048"/>
      <c r="AF32" s="2048"/>
      <c r="AG32" s="2048"/>
      <c r="AH32" s="2048"/>
      <c r="AI32" s="2048"/>
      <c r="AJ32" s="2048"/>
      <c r="AK32" s="2048"/>
      <c r="AL32" s="2048"/>
      <c r="AM32" s="2048"/>
      <c r="AN32" s="2048"/>
      <c r="AO32" s="2048"/>
      <c r="AP32" s="2048"/>
      <c r="AQ32" s="2048"/>
      <c r="AR32" s="2048"/>
      <c r="AS32" s="2048"/>
      <c r="AT32" s="2048"/>
      <c r="AU32" s="2048"/>
      <c r="AV32" s="2048"/>
    </row>
    <row r="33" spans="1:48" s="84" customFormat="1" ht="32.1" customHeight="1">
      <c r="A33" s="1783" t="s">
        <v>16</v>
      </c>
      <c r="B33" s="1783"/>
      <c r="C33" s="1783"/>
      <c r="D33" s="1783"/>
      <c r="E33" s="1783"/>
      <c r="F33" s="1783"/>
      <c r="G33" s="1783"/>
      <c r="H33" s="1783"/>
      <c r="I33" s="1783"/>
      <c r="J33" s="1783"/>
      <c r="K33" s="1783"/>
      <c r="L33" s="1783"/>
      <c r="M33" s="1783"/>
      <c r="N33" s="1783"/>
      <c r="O33" s="1783"/>
      <c r="P33" s="1783"/>
      <c r="Q33" s="1783"/>
      <c r="R33" s="1783"/>
      <c r="S33" s="1783"/>
      <c r="T33" s="1783"/>
      <c r="U33" s="1783"/>
      <c r="V33" s="1783"/>
      <c r="W33" s="1783"/>
      <c r="X33" s="1783"/>
      <c r="Y33" s="1783"/>
      <c r="Z33" s="1783"/>
      <c r="AA33" s="1783"/>
      <c r="AB33" s="1783"/>
      <c r="AC33" s="1783"/>
      <c r="AD33" s="1783"/>
      <c r="AE33" s="1783"/>
      <c r="AF33" s="1783"/>
      <c r="AG33" s="1783"/>
      <c r="AH33" s="1783"/>
      <c r="AI33" s="1783"/>
      <c r="AJ33" s="1783"/>
      <c r="AK33" s="1783"/>
      <c r="AL33" s="1783"/>
      <c r="AM33" s="1783"/>
      <c r="AN33" s="1783"/>
      <c r="AO33" s="1783"/>
      <c r="AP33" s="1783"/>
      <c r="AQ33" s="1783"/>
      <c r="AR33" s="1783"/>
      <c r="AS33" s="1783"/>
      <c r="AT33" s="1783"/>
      <c r="AU33" s="1783"/>
      <c r="AV33" s="1783"/>
    </row>
    <row r="34" spans="1:48" ht="30.75" customHeight="1"/>
  </sheetData>
  <sheetProtection algorithmName="SHA-512" hashValue="NAYdg+vTubQTpoToJAl4ANd3kYoMbtByJNg/2FpFmcY3umPUlseSfoIBOr5gIfruzsz9J2L+p1Xq9F07vXV75Q==" saltValue="JUzHKz/huFDEnylKBxVRBA==" spinCount="100000" sheet="1" formatCells="0" formatColumns="0" formatRows="0"/>
  <mergeCells count="102">
    <mergeCell ref="F7:O7"/>
    <mergeCell ref="F8:O8"/>
    <mergeCell ref="F9:AC9"/>
    <mergeCell ref="AD9:AL9"/>
    <mergeCell ref="AM9:AV9"/>
    <mergeCell ref="U8:AC8"/>
    <mergeCell ref="A1:K5"/>
    <mergeCell ref="L1:AV1"/>
    <mergeCell ref="L2:AV2"/>
    <mergeCell ref="L3:AV3"/>
    <mergeCell ref="L4:AD4"/>
    <mergeCell ref="AE4:AV4"/>
    <mergeCell ref="L5:AV5"/>
    <mergeCell ref="U7:AC7"/>
    <mergeCell ref="P7:T7"/>
    <mergeCell ref="P8:T8"/>
    <mergeCell ref="A6:E6"/>
    <mergeCell ref="A7:E7"/>
    <mergeCell ref="A8:E8"/>
    <mergeCell ref="A9:E9"/>
    <mergeCell ref="F6:AC6"/>
    <mergeCell ref="AD8:AL8"/>
    <mergeCell ref="AM7:AV7"/>
    <mergeCell ref="AM6:AV6"/>
    <mergeCell ref="A33:AV33"/>
    <mergeCell ref="A13:AA13"/>
    <mergeCell ref="AJ13:AP13"/>
    <mergeCell ref="AR22:AV22"/>
    <mergeCell ref="A23:O23"/>
    <mergeCell ref="W23:AC23"/>
    <mergeCell ref="AD23:AJ23"/>
    <mergeCell ref="AK23:AQ23"/>
    <mergeCell ref="A22:O22"/>
    <mergeCell ref="W22:AC22"/>
    <mergeCell ref="AD22:AJ22"/>
    <mergeCell ref="A26:AV26"/>
    <mergeCell ref="A19:Q21"/>
    <mergeCell ref="W20:AQ20"/>
    <mergeCell ref="P22:Q22"/>
    <mergeCell ref="P23:Q23"/>
    <mergeCell ref="W21:AC21"/>
    <mergeCell ref="AD21:AJ21"/>
    <mergeCell ref="AK21:AQ21"/>
    <mergeCell ref="A14:AA14"/>
    <mergeCell ref="AJ14:AP14"/>
    <mergeCell ref="AO16:AR17"/>
    <mergeCell ref="AE14:AI14"/>
    <mergeCell ref="R19:V21"/>
    <mergeCell ref="AB14:AD14"/>
    <mergeCell ref="AB13:AD13"/>
    <mergeCell ref="AQ11:AS11"/>
    <mergeCell ref="AQ12:AS12"/>
    <mergeCell ref="AE13:AI13"/>
    <mergeCell ref="AS16:AU17"/>
    <mergeCell ref="V16:AC17"/>
    <mergeCell ref="AQ13:AS13"/>
    <mergeCell ref="A10:AV10"/>
    <mergeCell ref="A11:AA11"/>
    <mergeCell ref="AJ11:AP11"/>
    <mergeCell ref="A12:AA12"/>
    <mergeCell ref="AJ12:AP12"/>
    <mergeCell ref="AE11:AI11"/>
    <mergeCell ref="AE12:AI12"/>
    <mergeCell ref="AB11:AD11"/>
    <mergeCell ref="AB12:AD12"/>
    <mergeCell ref="A32:AV32"/>
    <mergeCell ref="AK29:AV29"/>
    <mergeCell ref="AK30:AV30"/>
    <mergeCell ref="AK28:AV28"/>
    <mergeCell ref="W28:AJ28"/>
    <mergeCell ref="W29:AJ29"/>
    <mergeCell ref="W30:AJ30"/>
    <mergeCell ref="A28:K28"/>
    <mergeCell ref="A29:K29"/>
    <mergeCell ref="A30:K30"/>
    <mergeCell ref="L28:V28"/>
    <mergeCell ref="L29:V29"/>
    <mergeCell ref="L30:V30"/>
    <mergeCell ref="AM8:AV8"/>
    <mergeCell ref="AD6:AL6"/>
    <mergeCell ref="AD7:AL7"/>
    <mergeCell ref="AK22:AQ22"/>
    <mergeCell ref="R22:V22"/>
    <mergeCell ref="R23:V23"/>
    <mergeCell ref="AR23:AV23"/>
    <mergeCell ref="AR24:AV24"/>
    <mergeCell ref="A31:AV31"/>
    <mergeCell ref="P24:Q24"/>
    <mergeCell ref="W27:AJ27"/>
    <mergeCell ref="A27:K27"/>
    <mergeCell ref="L27:V27"/>
    <mergeCell ref="A24:O24"/>
    <mergeCell ref="W24:AQ24"/>
    <mergeCell ref="AK27:AV27"/>
    <mergeCell ref="R24:V24"/>
    <mergeCell ref="A25:G25"/>
    <mergeCell ref="I25:AV25"/>
    <mergeCell ref="W19:AQ19"/>
    <mergeCell ref="AR19:AV21"/>
    <mergeCell ref="AQ14:AS14"/>
    <mergeCell ref="J16:U17"/>
    <mergeCell ref="AD16:AG17"/>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www.umv.gov.co111311&amp;C&amp;6PRO-FM-024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AK29:AV29</xm:sqref>
        </x14:dataValidation>
        <x14:dataValidation type="list" allowBlank="1" showInputMessage="1" showErrorMessage="1">
          <x14:formula1>
            <xm:f>firmas!$A$2:$A$31</xm:f>
          </x14:formula1>
          <xm:sqref>L29:V29</xm:sqref>
        </x14:dataValidation>
        <x14:dataValidation type="list" allowBlank="1" showInputMessage="1" showErrorMessage="1">
          <x14:formula1>
            <xm:f>firmas!$A$33:$A$35</xm:f>
          </x14:formula1>
          <xm:sqref>W29:AJ29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72"/>
  <sheetViews>
    <sheetView showGridLines="0" view="pageBreakPreview" topLeftCell="A31" zoomScaleSheetLayoutView="100" workbookViewId="0">
      <selection activeCell="F28" sqref="C28:H28"/>
    </sheetView>
  </sheetViews>
  <sheetFormatPr baseColWidth="10" defaultColWidth="5.7109375" defaultRowHeight="12.75"/>
  <cols>
    <col min="1" max="2" width="11" style="272" customWidth="1"/>
    <col min="3" max="3" width="6.7109375" style="272" customWidth="1"/>
    <col min="4" max="4" width="8.5703125" style="272" customWidth="1"/>
    <col min="5" max="5" width="9.85546875" style="272" customWidth="1"/>
    <col min="6" max="6" width="1.85546875" style="272" customWidth="1"/>
    <col min="7" max="7" width="14.28515625" style="272" customWidth="1"/>
    <col min="8" max="8" width="11.28515625" style="272" customWidth="1"/>
    <col min="9" max="9" width="7.5703125" style="272" customWidth="1"/>
    <col min="10" max="10" width="11.85546875" style="272" customWidth="1"/>
    <col min="11" max="11" width="3.140625" style="272" customWidth="1"/>
    <col min="12" max="12" width="5.42578125" style="272" customWidth="1"/>
    <col min="13" max="13" width="5.5703125" style="277" customWidth="1"/>
    <col min="14" max="14" width="6.5703125" style="277" customWidth="1"/>
    <col min="15" max="15" width="18.28515625" style="277" customWidth="1"/>
    <col min="16" max="20" width="10.7109375" style="277" customWidth="1"/>
    <col min="21" max="24" width="10.7109375" style="272" customWidth="1"/>
    <col min="25" max="245" width="14.42578125" style="272" customWidth="1"/>
    <col min="246" max="246" width="5.7109375" style="272" customWidth="1"/>
    <col min="247" max="247" width="12.7109375" style="272" customWidth="1"/>
    <col min="248" max="248" width="0" style="272" hidden="1" customWidth="1"/>
    <col min="249" max="249" width="11.42578125" style="272" customWidth="1"/>
    <col min="250" max="253" width="14.7109375" style="272" customWidth="1"/>
    <col min="254" max="254" width="16.140625" style="272" customWidth="1"/>
    <col min="255" max="255" width="5.7109375" style="272"/>
    <col min="256" max="256" width="3.7109375" style="272" customWidth="1"/>
    <col min="257" max="257" width="12.7109375" style="272" customWidth="1"/>
    <col min="258" max="258" width="1.7109375" style="272" customWidth="1"/>
    <col min="259" max="259" width="12.28515625" style="272" customWidth="1"/>
    <col min="260" max="260" width="14.7109375" style="272" customWidth="1"/>
    <col min="261" max="264" width="7.7109375" style="272" customWidth="1"/>
    <col min="265" max="265" width="16.5703125" style="272" customWidth="1"/>
    <col min="266" max="266" width="14.7109375" style="272" customWidth="1"/>
    <col min="267" max="267" width="3.7109375" style="272" customWidth="1"/>
    <col min="268" max="268" width="4.42578125" style="272" customWidth="1"/>
    <col min="269" max="269" width="5.5703125" style="272" customWidth="1"/>
    <col min="270" max="270" width="6.5703125" style="272" customWidth="1"/>
    <col min="271" max="271" width="18.28515625" style="272" customWidth="1"/>
    <col min="272" max="280" width="10.7109375" style="272" customWidth="1"/>
    <col min="281" max="501" width="14.42578125" style="272" customWidth="1"/>
    <col min="502" max="502" width="5.7109375" style="272" customWidth="1"/>
    <col min="503" max="503" width="12.7109375" style="272" customWidth="1"/>
    <col min="504" max="504" width="0" style="272" hidden="1" customWidth="1"/>
    <col min="505" max="505" width="11.42578125" style="272" customWidth="1"/>
    <col min="506" max="509" width="14.7109375" style="272" customWidth="1"/>
    <col min="510" max="510" width="16.140625" style="272" customWidth="1"/>
    <col min="511" max="511" width="5.7109375" style="272"/>
    <col min="512" max="512" width="3.7109375" style="272" customWidth="1"/>
    <col min="513" max="513" width="12.7109375" style="272" customWidth="1"/>
    <col min="514" max="514" width="1.7109375" style="272" customWidth="1"/>
    <col min="515" max="515" width="12.28515625" style="272" customWidth="1"/>
    <col min="516" max="516" width="14.7109375" style="272" customWidth="1"/>
    <col min="517" max="520" width="7.7109375" style="272" customWidth="1"/>
    <col min="521" max="521" width="16.5703125" style="272" customWidth="1"/>
    <col min="522" max="522" width="14.7109375" style="272" customWidth="1"/>
    <col min="523" max="523" width="3.7109375" style="272" customWidth="1"/>
    <col min="524" max="524" width="4.42578125" style="272" customWidth="1"/>
    <col min="525" max="525" width="5.5703125" style="272" customWidth="1"/>
    <col min="526" max="526" width="6.5703125" style="272" customWidth="1"/>
    <col min="527" max="527" width="18.28515625" style="272" customWidth="1"/>
    <col min="528" max="536" width="10.7109375" style="272" customWidth="1"/>
    <col min="537" max="757" width="14.42578125" style="272" customWidth="1"/>
    <col min="758" max="758" width="5.7109375" style="272" customWidth="1"/>
    <col min="759" max="759" width="12.7109375" style="272" customWidth="1"/>
    <col min="760" max="760" width="0" style="272" hidden="1" customWidth="1"/>
    <col min="761" max="761" width="11.42578125" style="272" customWidth="1"/>
    <col min="762" max="765" width="14.7109375" style="272" customWidth="1"/>
    <col min="766" max="766" width="16.140625" style="272" customWidth="1"/>
    <col min="767" max="767" width="5.7109375" style="272"/>
    <col min="768" max="768" width="3.7109375" style="272" customWidth="1"/>
    <col min="769" max="769" width="12.7109375" style="272" customWidth="1"/>
    <col min="770" max="770" width="1.7109375" style="272" customWidth="1"/>
    <col min="771" max="771" width="12.28515625" style="272" customWidth="1"/>
    <col min="772" max="772" width="14.7109375" style="272" customWidth="1"/>
    <col min="773" max="776" width="7.7109375" style="272" customWidth="1"/>
    <col min="777" max="777" width="16.5703125" style="272" customWidth="1"/>
    <col min="778" max="778" width="14.7109375" style="272" customWidth="1"/>
    <col min="779" max="779" width="3.7109375" style="272" customWidth="1"/>
    <col min="780" max="780" width="4.42578125" style="272" customWidth="1"/>
    <col min="781" max="781" width="5.5703125" style="272" customWidth="1"/>
    <col min="782" max="782" width="6.5703125" style="272" customWidth="1"/>
    <col min="783" max="783" width="18.28515625" style="272" customWidth="1"/>
    <col min="784" max="792" width="10.7109375" style="272" customWidth="1"/>
    <col min="793" max="1013" width="14.42578125" style="272" customWidth="1"/>
    <col min="1014" max="1014" width="5.7109375" style="272" customWidth="1"/>
    <col min="1015" max="1015" width="12.7109375" style="272" customWidth="1"/>
    <col min="1016" max="1016" width="0" style="272" hidden="1" customWidth="1"/>
    <col min="1017" max="1017" width="11.42578125" style="272" customWidth="1"/>
    <col min="1018" max="1021" width="14.7109375" style="272" customWidth="1"/>
    <col min="1022" max="1022" width="16.140625" style="272" customWidth="1"/>
    <col min="1023" max="1023" width="5.7109375" style="272"/>
    <col min="1024" max="1024" width="3.7109375" style="272" customWidth="1"/>
    <col min="1025" max="1025" width="12.7109375" style="272" customWidth="1"/>
    <col min="1026" max="1026" width="1.7109375" style="272" customWidth="1"/>
    <col min="1027" max="1027" width="12.28515625" style="272" customWidth="1"/>
    <col min="1028" max="1028" width="14.7109375" style="272" customWidth="1"/>
    <col min="1029" max="1032" width="7.7109375" style="272" customWidth="1"/>
    <col min="1033" max="1033" width="16.5703125" style="272" customWidth="1"/>
    <col min="1034" max="1034" width="14.7109375" style="272" customWidth="1"/>
    <col min="1035" max="1035" width="3.7109375" style="272" customWidth="1"/>
    <col min="1036" max="1036" width="4.42578125" style="272" customWidth="1"/>
    <col min="1037" max="1037" width="5.5703125" style="272" customWidth="1"/>
    <col min="1038" max="1038" width="6.5703125" style="272" customWidth="1"/>
    <col min="1039" max="1039" width="18.28515625" style="272" customWidth="1"/>
    <col min="1040" max="1048" width="10.7109375" style="272" customWidth="1"/>
    <col min="1049" max="1269" width="14.42578125" style="272" customWidth="1"/>
    <col min="1270" max="1270" width="5.7109375" style="272" customWidth="1"/>
    <col min="1271" max="1271" width="12.7109375" style="272" customWidth="1"/>
    <col min="1272" max="1272" width="0" style="272" hidden="1" customWidth="1"/>
    <col min="1273" max="1273" width="11.42578125" style="272" customWidth="1"/>
    <col min="1274" max="1277" width="14.7109375" style="272" customWidth="1"/>
    <col min="1278" max="1278" width="16.140625" style="272" customWidth="1"/>
    <col min="1279" max="1279" width="5.7109375" style="272"/>
    <col min="1280" max="1280" width="3.7109375" style="272" customWidth="1"/>
    <col min="1281" max="1281" width="12.7109375" style="272" customWidth="1"/>
    <col min="1282" max="1282" width="1.7109375" style="272" customWidth="1"/>
    <col min="1283" max="1283" width="12.28515625" style="272" customWidth="1"/>
    <col min="1284" max="1284" width="14.7109375" style="272" customWidth="1"/>
    <col min="1285" max="1288" width="7.7109375" style="272" customWidth="1"/>
    <col min="1289" max="1289" width="16.5703125" style="272" customWidth="1"/>
    <col min="1290" max="1290" width="14.7109375" style="272" customWidth="1"/>
    <col min="1291" max="1291" width="3.7109375" style="272" customWidth="1"/>
    <col min="1292" max="1292" width="4.42578125" style="272" customWidth="1"/>
    <col min="1293" max="1293" width="5.5703125" style="272" customWidth="1"/>
    <col min="1294" max="1294" width="6.5703125" style="272" customWidth="1"/>
    <col min="1295" max="1295" width="18.28515625" style="272" customWidth="1"/>
    <col min="1296" max="1304" width="10.7109375" style="272" customWidth="1"/>
    <col min="1305" max="1525" width="14.42578125" style="272" customWidth="1"/>
    <col min="1526" max="1526" width="5.7109375" style="272" customWidth="1"/>
    <col min="1527" max="1527" width="12.7109375" style="272" customWidth="1"/>
    <col min="1528" max="1528" width="0" style="272" hidden="1" customWidth="1"/>
    <col min="1529" max="1529" width="11.42578125" style="272" customWidth="1"/>
    <col min="1530" max="1533" width="14.7109375" style="272" customWidth="1"/>
    <col min="1534" max="1534" width="16.140625" style="272" customWidth="1"/>
    <col min="1535" max="1535" width="5.7109375" style="272"/>
    <col min="1536" max="1536" width="3.7109375" style="272" customWidth="1"/>
    <col min="1537" max="1537" width="12.7109375" style="272" customWidth="1"/>
    <col min="1538" max="1538" width="1.7109375" style="272" customWidth="1"/>
    <col min="1539" max="1539" width="12.28515625" style="272" customWidth="1"/>
    <col min="1540" max="1540" width="14.7109375" style="272" customWidth="1"/>
    <col min="1541" max="1544" width="7.7109375" style="272" customWidth="1"/>
    <col min="1545" max="1545" width="16.5703125" style="272" customWidth="1"/>
    <col min="1546" max="1546" width="14.7109375" style="272" customWidth="1"/>
    <col min="1547" max="1547" width="3.7109375" style="272" customWidth="1"/>
    <col min="1548" max="1548" width="4.42578125" style="272" customWidth="1"/>
    <col min="1549" max="1549" width="5.5703125" style="272" customWidth="1"/>
    <col min="1550" max="1550" width="6.5703125" style="272" customWidth="1"/>
    <col min="1551" max="1551" width="18.28515625" style="272" customWidth="1"/>
    <col min="1552" max="1560" width="10.7109375" style="272" customWidth="1"/>
    <col min="1561" max="1781" width="14.42578125" style="272" customWidth="1"/>
    <col min="1782" max="1782" width="5.7109375" style="272" customWidth="1"/>
    <col min="1783" max="1783" width="12.7109375" style="272" customWidth="1"/>
    <col min="1784" max="1784" width="0" style="272" hidden="1" customWidth="1"/>
    <col min="1785" max="1785" width="11.42578125" style="272" customWidth="1"/>
    <col min="1786" max="1789" width="14.7109375" style="272" customWidth="1"/>
    <col min="1790" max="1790" width="16.140625" style="272" customWidth="1"/>
    <col min="1791" max="1791" width="5.7109375" style="272"/>
    <col min="1792" max="1792" width="3.7109375" style="272" customWidth="1"/>
    <col min="1793" max="1793" width="12.7109375" style="272" customWidth="1"/>
    <col min="1794" max="1794" width="1.7109375" style="272" customWidth="1"/>
    <col min="1795" max="1795" width="12.28515625" style="272" customWidth="1"/>
    <col min="1796" max="1796" width="14.7109375" style="272" customWidth="1"/>
    <col min="1797" max="1800" width="7.7109375" style="272" customWidth="1"/>
    <col min="1801" max="1801" width="16.5703125" style="272" customWidth="1"/>
    <col min="1802" max="1802" width="14.7109375" style="272" customWidth="1"/>
    <col min="1803" max="1803" width="3.7109375" style="272" customWidth="1"/>
    <col min="1804" max="1804" width="4.42578125" style="272" customWidth="1"/>
    <col min="1805" max="1805" width="5.5703125" style="272" customWidth="1"/>
    <col min="1806" max="1806" width="6.5703125" style="272" customWidth="1"/>
    <col min="1807" max="1807" width="18.28515625" style="272" customWidth="1"/>
    <col min="1808" max="1816" width="10.7109375" style="272" customWidth="1"/>
    <col min="1817" max="2037" width="14.42578125" style="272" customWidth="1"/>
    <col min="2038" max="2038" width="5.7109375" style="272" customWidth="1"/>
    <col min="2039" max="2039" width="12.7109375" style="272" customWidth="1"/>
    <col min="2040" max="2040" width="0" style="272" hidden="1" customWidth="1"/>
    <col min="2041" max="2041" width="11.42578125" style="272" customWidth="1"/>
    <col min="2042" max="2045" width="14.7109375" style="272" customWidth="1"/>
    <col min="2046" max="2046" width="16.140625" style="272" customWidth="1"/>
    <col min="2047" max="2047" width="5.7109375" style="272"/>
    <col min="2048" max="2048" width="3.7109375" style="272" customWidth="1"/>
    <col min="2049" max="2049" width="12.7109375" style="272" customWidth="1"/>
    <col min="2050" max="2050" width="1.7109375" style="272" customWidth="1"/>
    <col min="2051" max="2051" width="12.28515625" style="272" customWidth="1"/>
    <col min="2052" max="2052" width="14.7109375" style="272" customWidth="1"/>
    <col min="2053" max="2056" width="7.7109375" style="272" customWidth="1"/>
    <col min="2057" max="2057" width="16.5703125" style="272" customWidth="1"/>
    <col min="2058" max="2058" width="14.7109375" style="272" customWidth="1"/>
    <col min="2059" max="2059" width="3.7109375" style="272" customWidth="1"/>
    <col min="2060" max="2060" width="4.42578125" style="272" customWidth="1"/>
    <col min="2061" max="2061" width="5.5703125" style="272" customWidth="1"/>
    <col min="2062" max="2062" width="6.5703125" style="272" customWidth="1"/>
    <col min="2063" max="2063" width="18.28515625" style="272" customWidth="1"/>
    <col min="2064" max="2072" width="10.7109375" style="272" customWidth="1"/>
    <col min="2073" max="2293" width="14.42578125" style="272" customWidth="1"/>
    <col min="2294" max="2294" width="5.7109375" style="272" customWidth="1"/>
    <col min="2295" max="2295" width="12.7109375" style="272" customWidth="1"/>
    <col min="2296" max="2296" width="0" style="272" hidden="1" customWidth="1"/>
    <col min="2297" max="2297" width="11.42578125" style="272" customWidth="1"/>
    <col min="2298" max="2301" width="14.7109375" style="272" customWidth="1"/>
    <col min="2302" max="2302" width="16.140625" style="272" customWidth="1"/>
    <col min="2303" max="2303" width="5.7109375" style="272"/>
    <col min="2304" max="2304" width="3.7109375" style="272" customWidth="1"/>
    <col min="2305" max="2305" width="12.7109375" style="272" customWidth="1"/>
    <col min="2306" max="2306" width="1.7109375" style="272" customWidth="1"/>
    <col min="2307" max="2307" width="12.28515625" style="272" customWidth="1"/>
    <col min="2308" max="2308" width="14.7109375" style="272" customWidth="1"/>
    <col min="2309" max="2312" width="7.7109375" style="272" customWidth="1"/>
    <col min="2313" max="2313" width="16.5703125" style="272" customWidth="1"/>
    <col min="2314" max="2314" width="14.7109375" style="272" customWidth="1"/>
    <col min="2315" max="2315" width="3.7109375" style="272" customWidth="1"/>
    <col min="2316" max="2316" width="4.42578125" style="272" customWidth="1"/>
    <col min="2317" max="2317" width="5.5703125" style="272" customWidth="1"/>
    <col min="2318" max="2318" width="6.5703125" style="272" customWidth="1"/>
    <col min="2319" max="2319" width="18.28515625" style="272" customWidth="1"/>
    <col min="2320" max="2328" width="10.7109375" style="272" customWidth="1"/>
    <col min="2329" max="2549" width="14.42578125" style="272" customWidth="1"/>
    <col min="2550" max="2550" width="5.7109375" style="272" customWidth="1"/>
    <col min="2551" max="2551" width="12.7109375" style="272" customWidth="1"/>
    <col min="2552" max="2552" width="0" style="272" hidden="1" customWidth="1"/>
    <col min="2553" max="2553" width="11.42578125" style="272" customWidth="1"/>
    <col min="2554" max="2557" width="14.7109375" style="272" customWidth="1"/>
    <col min="2558" max="2558" width="16.140625" style="272" customWidth="1"/>
    <col min="2559" max="2559" width="5.7109375" style="272"/>
    <col min="2560" max="2560" width="3.7109375" style="272" customWidth="1"/>
    <col min="2561" max="2561" width="12.7109375" style="272" customWidth="1"/>
    <col min="2562" max="2562" width="1.7109375" style="272" customWidth="1"/>
    <col min="2563" max="2563" width="12.28515625" style="272" customWidth="1"/>
    <col min="2564" max="2564" width="14.7109375" style="272" customWidth="1"/>
    <col min="2565" max="2568" width="7.7109375" style="272" customWidth="1"/>
    <col min="2569" max="2569" width="16.5703125" style="272" customWidth="1"/>
    <col min="2570" max="2570" width="14.7109375" style="272" customWidth="1"/>
    <col min="2571" max="2571" width="3.7109375" style="272" customWidth="1"/>
    <col min="2572" max="2572" width="4.42578125" style="272" customWidth="1"/>
    <col min="2573" max="2573" width="5.5703125" style="272" customWidth="1"/>
    <col min="2574" max="2574" width="6.5703125" style="272" customWidth="1"/>
    <col min="2575" max="2575" width="18.28515625" style="272" customWidth="1"/>
    <col min="2576" max="2584" width="10.7109375" style="272" customWidth="1"/>
    <col min="2585" max="2805" width="14.42578125" style="272" customWidth="1"/>
    <col min="2806" max="2806" width="5.7109375" style="272" customWidth="1"/>
    <col min="2807" max="2807" width="12.7109375" style="272" customWidth="1"/>
    <col min="2808" max="2808" width="0" style="272" hidden="1" customWidth="1"/>
    <col min="2809" max="2809" width="11.42578125" style="272" customWidth="1"/>
    <col min="2810" max="2813" width="14.7109375" style="272" customWidth="1"/>
    <col min="2814" max="2814" width="16.140625" style="272" customWidth="1"/>
    <col min="2815" max="2815" width="5.7109375" style="272"/>
    <col min="2816" max="2816" width="3.7109375" style="272" customWidth="1"/>
    <col min="2817" max="2817" width="12.7109375" style="272" customWidth="1"/>
    <col min="2818" max="2818" width="1.7109375" style="272" customWidth="1"/>
    <col min="2819" max="2819" width="12.28515625" style="272" customWidth="1"/>
    <col min="2820" max="2820" width="14.7109375" style="272" customWidth="1"/>
    <col min="2821" max="2824" width="7.7109375" style="272" customWidth="1"/>
    <col min="2825" max="2825" width="16.5703125" style="272" customWidth="1"/>
    <col min="2826" max="2826" width="14.7109375" style="272" customWidth="1"/>
    <col min="2827" max="2827" width="3.7109375" style="272" customWidth="1"/>
    <col min="2828" max="2828" width="4.42578125" style="272" customWidth="1"/>
    <col min="2829" max="2829" width="5.5703125" style="272" customWidth="1"/>
    <col min="2830" max="2830" width="6.5703125" style="272" customWidth="1"/>
    <col min="2831" max="2831" width="18.28515625" style="272" customWidth="1"/>
    <col min="2832" max="2840" width="10.7109375" style="272" customWidth="1"/>
    <col min="2841" max="3061" width="14.42578125" style="272" customWidth="1"/>
    <col min="3062" max="3062" width="5.7109375" style="272" customWidth="1"/>
    <col min="3063" max="3063" width="12.7109375" style="272" customWidth="1"/>
    <col min="3064" max="3064" width="0" style="272" hidden="1" customWidth="1"/>
    <col min="3065" max="3065" width="11.42578125" style="272" customWidth="1"/>
    <col min="3066" max="3069" width="14.7109375" style="272" customWidth="1"/>
    <col min="3070" max="3070" width="16.140625" style="272" customWidth="1"/>
    <col min="3071" max="3071" width="5.7109375" style="272"/>
    <col min="3072" max="3072" width="3.7109375" style="272" customWidth="1"/>
    <col min="3073" max="3073" width="12.7109375" style="272" customWidth="1"/>
    <col min="3074" max="3074" width="1.7109375" style="272" customWidth="1"/>
    <col min="3075" max="3075" width="12.28515625" style="272" customWidth="1"/>
    <col min="3076" max="3076" width="14.7109375" style="272" customWidth="1"/>
    <col min="3077" max="3080" width="7.7109375" style="272" customWidth="1"/>
    <col min="3081" max="3081" width="16.5703125" style="272" customWidth="1"/>
    <col min="3082" max="3082" width="14.7109375" style="272" customWidth="1"/>
    <col min="3083" max="3083" width="3.7109375" style="272" customWidth="1"/>
    <col min="3084" max="3084" width="4.42578125" style="272" customWidth="1"/>
    <col min="3085" max="3085" width="5.5703125" style="272" customWidth="1"/>
    <col min="3086" max="3086" width="6.5703125" style="272" customWidth="1"/>
    <col min="3087" max="3087" width="18.28515625" style="272" customWidth="1"/>
    <col min="3088" max="3096" width="10.7109375" style="272" customWidth="1"/>
    <col min="3097" max="3317" width="14.42578125" style="272" customWidth="1"/>
    <col min="3318" max="3318" width="5.7109375" style="272" customWidth="1"/>
    <col min="3319" max="3319" width="12.7109375" style="272" customWidth="1"/>
    <col min="3320" max="3320" width="0" style="272" hidden="1" customWidth="1"/>
    <col min="3321" max="3321" width="11.42578125" style="272" customWidth="1"/>
    <col min="3322" max="3325" width="14.7109375" style="272" customWidth="1"/>
    <col min="3326" max="3326" width="16.140625" style="272" customWidth="1"/>
    <col min="3327" max="3327" width="5.7109375" style="272"/>
    <col min="3328" max="3328" width="3.7109375" style="272" customWidth="1"/>
    <col min="3329" max="3329" width="12.7109375" style="272" customWidth="1"/>
    <col min="3330" max="3330" width="1.7109375" style="272" customWidth="1"/>
    <col min="3331" max="3331" width="12.28515625" style="272" customWidth="1"/>
    <col min="3332" max="3332" width="14.7109375" style="272" customWidth="1"/>
    <col min="3333" max="3336" width="7.7109375" style="272" customWidth="1"/>
    <col min="3337" max="3337" width="16.5703125" style="272" customWidth="1"/>
    <col min="3338" max="3338" width="14.7109375" style="272" customWidth="1"/>
    <col min="3339" max="3339" width="3.7109375" style="272" customWidth="1"/>
    <col min="3340" max="3340" width="4.42578125" style="272" customWidth="1"/>
    <col min="3341" max="3341" width="5.5703125" style="272" customWidth="1"/>
    <col min="3342" max="3342" width="6.5703125" style="272" customWidth="1"/>
    <col min="3343" max="3343" width="18.28515625" style="272" customWidth="1"/>
    <col min="3344" max="3352" width="10.7109375" style="272" customWidth="1"/>
    <col min="3353" max="3573" width="14.42578125" style="272" customWidth="1"/>
    <col min="3574" max="3574" width="5.7109375" style="272" customWidth="1"/>
    <col min="3575" max="3575" width="12.7109375" style="272" customWidth="1"/>
    <col min="3576" max="3576" width="0" style="272" hidden="1" customWidth="1"/>
    <col min="3577" max="3577" width="11.42578125" style="272" customWidth="1"/>
    <col min="3578" max="3581" width="14.7109375" style="272" customWidth="1"/>
    <col min="3582" max="3582" width="16.140625" style="272" customWidth="1"/>
    <col min="3583" max="3583" width="5.7109375" style="272"/>
    <col min="3584" max="3584" width="3.7109375" style="272" customWidth="1"/>
    <col min="3585" max="3585" width="12.7109375" style="272" customWidth="1"/>
    <col min="3586" max="3586" width="1.7109375" style="272" customWidth="1"/>
    <col min="3587" max="3587" width="12.28515625" style="272" customWidth="1"/>
    <col min="3588" max="3588" width="14.7109375" style="272" customWidth="1"/>
    <col min="3589" max="3592" width="7.7109375" style="272" customWidth="1"/>
    <col min="3593" max="3593" width="16.5703125" style="272" customWidth="1"/>
    <col min="3594" max="3594" width="14.7109375" style="272" customWidth="1"/>
    <col min="3595" max="3595" width="3.7109375" style="272" customWidth="1"/>
    <col min="3596" max="3596" width="4.42578125" style="272" customWidth="1"/>
    <col min="3597" max="3597" width="5.5703125" style="272" customWidth="1"/>
    <col min="3598" max="3598" width="6.5703125" style="272" customWidth="1"/>
    <col min="3599" max="3599" width="18.28515625" style="272" customWidth="1"/>
    <col min="3600" max="3608" width="10.7109375" style="272" customWidth="1"/>
    <col min="3609" max="3829" width="14.42578125" style="272" customWidth="1"/>
    <col min="3830" max="3830" width="5.7109375" style="272" customWidth="1"/>
    <col min="3831" max="3831" width="12.7109375" style="272" customWidth="1"/>
    <col min="3832" max="3832" width="0" style="272" hidden="1" customWidth="1"/>
    <col min="3833" max="3833" width="11.42578125" style="272" customWidth="1"/>
    <col min="3834" max="3837" width="14.7109375" style="272" customWidth="1"/>
    <col min="3838" max="3838" width="16.140625" style="272" customWidth="1"/>
    <col min="3839" max="3839" width="5.7109375" style="272"/>
    <col min="3840" max="3840" width="3.7109375" style="272" customWidth="1"/>
    <col min="3841" max="3841" width="12.7109375" style="272" customWidth="1"/>
    <col min="3842" max="3842" width="1.7109375" style="272" customWidth="1"/>
    <col min="3843" max="3843" width="12.28515625" style="272" customWidth="1"/>
    <col min="3844" max="3844" width="14.7109375" style="272" customWidth="1"/>
    <col min="3845" max="3848" width="7.7109375" style="272" customWidth="1"/>
    <col min="3849" max="3849" width="16.5703125" style="272" customWidth="1"/>
    <col min="3850" max="3850" width="14.7109375" style="272" customWidth="1"/>
    <col min="3851" max="3851" width="3.7109375" style="272" customWidth="1"/>
    <col min="3852" max="3852" width="4.42578125" style="272" customWidth="1"/>
    <col min="3853" max="3853" width="5.5703125" style="272" customWidth="1"/>
    <col min="3854" max="3854" width="6.5703125" style="272" customWidth="1"/>
    <col min="3855" max="3855" width="18.28515625" style="272" customWidth="1"/>
    <col min="3856" max="3864" width="10.7109375" style="272" customWidth="1"/>
    <col min="3865" max="4085" width="14.42578125" style="272" customWidth="1"/>
    <col min="4086" max="4086" width="5.7109375" style="272" customWidth="1"/>
    <col min="4087" max="4087" width="12.7109375" style="272" customWidth="1"/>
    <col min="4088" max="4088" width="0" style="272" hidden="1" customWidth="1"/>
    <col min="4089" max="4089" width="11.42578125" style="272" customWidth="1"/>
    <col min="4090" max="4093" width="14.7109375" style="272" customWidth="1"/>
    <col min="4094" max="4094" width="16.140625" style="272" customWidth="1"/>
    <col min="4095" max="4095" width="5.7109375" style="272"/>
    <col min="4096" max="4096" width="3.7109375" style="272" customWidth="1"/>
    <col min="4097" max="4097" width="12.7109375" style="272" customWidth="1"/>
    <col min="4098" max="4098" width="1.7109375" style="272" customWidth="1"/>
    <col min="4099" max="4099" width="12.28515625" style="272" customWidth="1"/>
    <col min="4100" max="4100" width="14.7109375" style="272" customWidth="1"/>
    <col min="4101" max="4104" width="7.7109375" style="272" customWidth="1"/>
    <col min="4105" max="4105" width="16.5703125" style="272" customWidth="1"/>
    <col min="4106" max="4106" width="14.7109375" style="272" customWidth="1"/>
    <col min="4107" max="4107" width="3.7109375" style="272" customWidth="1"/>
    <col min="4108" max="4108" width="4.42578125" style="272" customWidth="1"/>
    <col min="4109" max="4109" width="5.5703125" style="272" customWidth="1"/>
    <col min="4110" max="4110" width="6.5703125" style="272" customWidth="1"/>
    <col min="4111" max="4111" width="18.28515625" style="272" customWidth="1"/>
    <col min="4112" max="4120" width="10.7109375" style="272" customWidth="1"/>
    <col min="4121" max="4341" width="14.42578125" style="272" customWidth="1"/>
    <col min="4342" max="4342" width="5.7109375" style="272" customWidth="1"/>
    <col min="4343" max="4343" width="12.7109375" style="272" customWidth="1"/>
    <col min="4344" max="4344" width="0" style="272" hidden="1" customWidth="1"/>
    <col min="4345" max="4345" width="11.42578125" style="272" customWidth="1"/>
    <col min="4346" max="4349" width="14.7109375" style="272" customWidth="1"/>
    <col min="4350" max="4350" width="16.140625" style="272" customWidth="1"/>
    <col min="4351" max="4351" width="5.7109375" style="272"/>
    <col min="4352" max="4352" width="3.7109375" style="272" customWidth="1"/>
    <col min="4353" max="4353" width="12.7109375" style="272" customWidth="1"/>
    <col min="4354" max="4354" width="1.7109375" style="272" customWidth="1"/>
    <col min="4355" max="4355" width="12.28515625" style="272" customWidth="1"/>
    <col min="4356" max="4356" width="14.7109375" style="272" customWidth="1"/>
    <col min="4357" max="4360" width="7.7109375" style="272" customWidth="1"/>
    <col min="4361" max="4361" width="16.5703125" style="272" customWidth="1"/>
    <col min="4362" max="4362" width="14.7109375" style="272" customWidth="1"/>
    <col min="4363" max="4363" width="3.7109375" style="272" customWidth="1"/>
    <col min="4364" max="4364" width="4.42578125" style="272" customWidth="1"/>
    <col min="4365" max="4365" width="5.5703125" style="272" customWidth="1"/>
    <col min="4366" max="4366" width="6.5703125" style="272" customWidth="1"/>
    <col min="4367" max="4367" width="18.28515625" style="272" customWidth="1"/>
    <col min="4368" max="4376" width="10.7109375" style="272" customWidth="1"/>
    <col min="4377" max="4597" width="14.42578125" style="272" customWidth="1"/>
    <col min="4598" max="4598" width="5.7109375" style="272" customWidth="1"/>
    <col min="4599" max="4599" width="12.7109375" style="272" customWidth="1"/>
    <col min="4600" max="4600" width="0" style="272" hidden="1" customWidth="1"/>
    <col min="4601" max="4601" width="11.42578125" style="272" customWidth="1"/>
    <col min="4602" max="4605" width="14.7109375" style="272" customWidth="1"/>
    <col min="4606" max="4606" width="16.140625" style="272" customWidth="1"/>
    <col min="4607" max="4607" width="5.7109375" style="272"/>
    <col min="4608" max="4608" width="3.7109375" style="272" customWidth="1"/>
    <col min="4609" max="4609" width="12.7109375" style="272" customWidth="1"/>
    <col min="4610" max="4610" width="1.7109375" style="272" customWidth="1"/>
    <col min="4611" max="4611" width="12.28515625" style="272" customWidth="1"/>
    <col min="4612" max="4612" width="14.7109375" style="272" customWidth="1"/>
    <col min="4613" max="4616" width="7.7109375" style="272" customWidth="1"/>
    <col min="4617" max="4617" width="16.5703125" style="272" customWidth="1"/>
    <col min="4618" max="4618" width="14.7109375" style="272" customWidth="1"/>
    <col min="4619" max="4619" width="3.7109375" style="272" customWidth="1"/>
    <col min="4620" max="4620" width="4.42578125" style="272" customWidth="1"/>
    <col min="4621" max="4621" width="5.5703125" style="272" customWidth="1"/>
    <col min="4622" max="4622" width="6.5703125" style="272" customWidth="1"/>
    <col min="4623" max="4623" width="18.28515625" style="272" customWidth="1"/>
    <col min="4624" max="4632" width="10.7109375" style="272" customWidth="1"/>
    <col min="4633" max="4853" width="14.42578125" style="272" customWidth="1"/>
    <col min="4854" max="4854" width="5.7109375" style="272" customWidth="1"/>
    <col min="4855" max="4855" width="12.7109375" style="272" customWidth="1"/>
    <col min="4856" max="4856" width="0" style="272" hidden="1" customWidth="1"/>
    <col min="4857" max="4857" width="11.42578125" style="272" customWidth="1"/>
    <col min="4858" max="4861" width="14.7109375" style="272" customWidth="1"/>
    <col min="4862" max="4862" width="16.140625" style="272" customWidth="1"/>
    <col min="4863" max="4863" width="5.7109375" style="272"/>
    <col min="4864" max="4864" width="3.7109375" style="272" customWidth="1"/>
    <col min="4865" max="4865" width="12.7109375" style="272" customWidth="1"/>
    <col min="4866" max="4866" width="1.7109375" style="272" customWidth="1"/>
    <col min="4867" max="4867" width="12.28515625" style="272" customWidth="1"/>
    <col min="4868" max="4868" width="14.7109375" style="272" customWidth="1"/>
    <col min="4869" max="4872" width="7.7109375" style="272" customWidth="1"/>
    <col min="4873" max="4873" width="16.5703125" style="272" customWidth="1"/>
    <col min="4874" max="4874" width="14.7109375" style="272" customWidth="1"/>
    <col min="4875" max="4875" width="3.7109375" style="272" customWidth="1"/>
    <col min="4876" max="4876" width="4.42578125" style="272" customWidth="1"/>
    <col min="4877" max="4877" width="5.5703125" style="272" customWidth="1"/>
    <col min="4878" max="4878" width="6.5703125" style="272" customWidth="1"/>
    <col min="4879" max="4879" width="18.28515625" style="272" customWidth="1"/>
    <col min="4880" max="4888" width="10.7109375" style="272" customWidth="1"/>
    <col min="4889" max="5109" width="14.42578125" style="272" customWidth="1"/>
    <col min="5110" max="5110" width="5.7109375" style="272" customWidth="1"/>
    <col min="5111" max="5111" width="12.7109375" style="272" customWidth="1"/>
    <col min="5112" max="5112" width="0" style="272" hidden="1" customWidth="1"/>
    <col min="5113" max="5113" width="11.42578125" style="272" customWidth="1"/>
    <col min="5114" max="5117" width="14.7109375" style="272" customWidth="1"/>
    <col min="5118" max="5118" width="16.140625" style="272" customWidth="1"/>
    <col min="5119" max="5119" width="5.7109375" style="272"/>
    <col min="5120" max="5120" width="3.7109375" style="272" customWidth="1"/>
    <col min="5121" max="5121" width="12.7109375" style="272" customWidth="1"/>
    <col min="5122" max="5122" width="1.7109375" style="272" customWidth="1"/>
    <col min="5123" max="5123" width="12.28515625" style="272" customWidth="1"/>
    <col min="5124" max="5124" width="14.7109375" style="272" customWidth="1"/>
    <col min="5125" max="5128" width="7.7109375" style="272" customWidth="1"/>
    <col min="5129" max="5129" width="16.5703125" style="272" customWidth="1"/>
    <col min="5130" max="5130" width="14.7109375" style="272" customWidth="1"/>
    <col min="5131" max="5131" width="3.7109375" style="272" customWidth="1"/>
    <col min="5132" max="5132" width="4.42578125" style="272" customWidth="1"/>
    <col min="5133" max="5133" width="5.5703125" style="272" customWidth="1"/>
    <col min="5134" max="5134" width="6.5703125" style="272" customWidth="1"/>
    <col min="5135" max="5135" width="18.28515625" style="272" customWidth="1"/>
    <col min="5136" max="5144" width="10.7109375" style="272" customWidth="1"/>
    <col min="5145" max="5365" width="14.42578125" style="272" customWidth="1"/>
    <col min="5366" max="5366" width="5.7109375" style="272" customWidth="1"/>
    <col min="5367" max="5367" width="12.7109375" style="272" customWidth="1"/>
    <col min="5368" max="5368" width="0" style="272" hidden="1" customWidth="1"/>
    <col min="5369" max="5369" width="11.42578125" style="272" customWidth="1"/>
    <col min="5370" max="5373" width="14.7109375" style="272" customWidth="1"/>
    <col min="5374" max="5374" width="16.140625" style="272" customWidth="1"/>
    <col min="5375" max="5375" width="5.7109375" style="272"/>
    <col min="5376" max="5376" width="3.7109375" style="272" customWidth="1"/>
    <col min="5377" max="5377" width="12.7109375" style="272" customWidth="1"/>
    <col min="5378" max="5378" width="1.7109375" style="272" customWidth="1"/>
    <col min="5379" max="5379" width="12.28515625" style="272" customWidth="1"/>
    <col min="5380" max="5380" width="14.7109375" style="272" customWidth="1"/>
    <col min="5381" max="5384" width="7.7109375" style="272" customWidth="1"/>
    <col min="5385" max="5385" width="16.5703125" style="272" customWidth="1"/>
    <col min="5386" max="5386" width="14.7109375" style="272" customWidth="1"/>
    <col min="5387" max="5387" width="3.7109375" style="272" customWidth="1"/>
    <col min="5388" max="5388" width="4.42578125" style="272" customWidth="1"/>
    <col min="5389" max="5389" width="5.5703125" style="272" customWidth="1"/>
    <col min="5390" max="5390" width="6.5703125" style="272" customWidth="1"/>
    <col min="5391" max="5391" width="18.28515625" style="272" customWidth="1"/>
    <col min="5392" max="5400" width="10.7109375" style="272" customWidth="1"/>
    <col min="5401" max="5621" width="14.42578125" style="272" customWidth="1"/>
    <col min="5622" max="5622" width="5.7109375" style="272" customWidth="1"/>
    <col min="5623" max="5623" width="12.7109375" style="272" customWidth="1"/>
    <col min="5624" max="5624" width="0" style="272" hidden="1" customWidth="1"/>
    <col min="5625" max="5625" width="11.42578125" style="272" customWidth="1"/>
    <col min="5626" max="5629" width="14.7109375" style="272" customWidth="1"/>
    <col min="5630" max="5630" width="16.140625" style="272" customWidth="1"/>
    <col min="5631" max="5631" width="5.7109375" style="272"/>
    <col min="5632" max="5632" width="3.7109375" style="272" customWidth="1"/>
    <col min="5633" max="5633" width="12.7109375" style="272" customWidth="1"/>
    <col min="5634" max="5634" width="1.7109375" style="272" customWidth="1"/>
    <col min="5635" max="5635" width="12.28515625" style="272" customWidth="1"/>
    <col min="5636" max="5636" width="14.7109375" style="272" customWidth="1"/>
    <col min="5637" max="5640" width="7.7109375" style="272" customWidth="1"/>
    <col min="5641" max="5641" width="16.5703125" style="272" customWidth="1"/>
    <col min="5642" max="5642" width="14.7109375" style="272" customWidth="1"/>
    <col min="5643" max="5643" width="3.7109375" style="272" customWidth="1"/>
    <col min="5644" max="5644" width="4.42578125" style="272" customWidth="1"/>
    <col min="5645" max="5645" width="5.5703125" style="272" customWidth="1"/>
    <col min="5646" max="5646" width="6.5703125" style="272" customWidth="1"/>
    <col min="5647" max="5647" width="18.28515625" style="272" customWidth="1"/>
    <col min="5648" max="5656" width="10.7109375" style="272" customWidth="1"/>
    <col min="5657" max="5877" width="14.42578125" style="272" customWidth="1"/>
    <col min="5878" max="5878" width="5.7109375" style="272" customWidth="1"/>
    <col min="5879" max="5879" width="12.7109375" style="272" customWidth="1"/>
    <col min="5880" max="5880" width="0" style="272" hidden="1" customWidth="1"/>
    <col min="5881" max="5881" width="11.42578125" style="272" customWidth="1"/>
    <col min="5882" max="5885" width="14.7109375" style="272" customWidth="1"/>
    <col min="5886" max="5886" width="16.140625" style="272" customWidth="1"/>
    <col min="5887" max="5887" width="5.7109375" style="272"/>
    <col min="5888" max="5888" width="3.7109375" style="272" customWidth="1"/>
    <col min="5889" max="5889" width="12.7109375" style="272" customWidth="1"/>
    <col min="5890" max="5890" width="1.7109375" style="272" customWidth="1"/>
    <col min="5891" max="5891" width="12.28515625" style="272" customWidth="1"/>
    <col min="5892" max="5892" width="14.7109375" style="272" customWidth="1"/>
    <col min="5893" max="5896" width="7.7109375" style="272" customWidth="1"/>
    <col min="5897" max="5897" width="16.5703125" style="272" customWidth="1"/>
    <col min="5898" max="5898" width="14.7109375" style="272" customWidth="1"/>
    <col min="5899" max="5899" width="3.7109375" style="272" customWidth="1"/>
    <col min="5900" max="5900" width="4.42578125" style="272" customWidth="1"/>
    <col min="5901" max="5901" width="5.5703125" style="272" customWidth="1"/>
    <col min="5902" max="5902" width="6.5703125" style="272" customWidth="1"/>
    <col min="5903" max="5903" width="18.28515625" style="272" customWidth="1"/>
    <col min="5904" max="5912" width="10.7109375" style="272" customWidth="1"/>
    <col min="5913" max="6133" width="14.42578125" style="272" customWidth="1"/>
    <col min="6134" max="6134" width="5.7109375" style="272" customWidth="1"/>
    <col min="6135" max="6135" width="12.7109375" style="272" customWidth="1"/>
    <col min="6136" max="6136" width="0" style="272" hidden="1" customWidth="1"/>
    <col min="6137" max="6137" width="11.42578125" style="272" customWidth="1"/>
    <col min="6138" max="6141" width="14.7109375" style="272" customWidth="1"/>
    <col min="6142" max="6142" width="16.140625" style="272" customWidth="1"/>
    <col min="6143" max="6143" width="5.7109375" style="272"/>
    <col min="6144" max="6144" width="3.7109375" style="272" customWidth="1"/>
    <col min="6145" max="6145" width="12.7109375" style="272" customWidth="1"/>
    <col min="6146" max="6146" width="1.7109375" style="272" customWidth="1"/>
    <col min="6147" max="6147" width="12.28515625" style="272" customWidth="1"/>
    <col min="6148" max="6148" width="14.7109375" style="272" customWidth="1"/>
    <col min="6149" max="6152" width="7.7109375" style="272" customWidth="1"/>
    <col min="6153" max="6153" width="16.5703125" style="272" customWidth="1"/>
    <col min="6154" max="6154" width="14.7109375" style="272" customWidth="1"/>
    <col min="6155" max="6155" width="3.7109375" style="272" customWidth="1"/>
    <col min="6156" max="6156" width="4.42578125" style="272" customWidth="1"/>
    <col min="6157" max="6157" width="5.5703125" style="272" customWidth="1"/>
    <col min="6158" max="6158" width="6.5703125" style="272" customWidth="1"/>
    <col min="6159" max="6159" width="18.28515625" style="272" customWidth="1"/>
    <col min="6160" max="6168" width="10.7109375" style="272" customWidth="1"/>
    <col min="6169" max="6389" width="14.42578125" style="272" customWidth="1"/>
    <col min="6390" max="6390" width="5.7109375" style="272" customWidth="1"/>
    <col min="6391" max="6391" width="12.7109375" style="272" customWidth="1"/>
    <col min="6392" max="6392" width="0" style="272" hidden="1" customWidth="1"/>
    <col min="6393" max="6393" width="11.42578125" style="272" customWidth="1"/>
    <col min="6394" max="6397" width="14.7109375" style="272" customWidth="1"/>
    <col min="6398" max="6398" width="16.140625" style="272" customWidth="1"/>
    <col min="6399" max="6399" width="5.7109375" style="272"/>
    <col min="6400" max="6400" width="3.7109375" style="272" customWidth="1"/>
    <col min="6401" max="6401" width="12.7109375" style="272" customWidth="1"/>
    <col min="6402" max="6402" width="1.7109375" style="272" customWidth="1"/>
    <col min="6403" max="6403" width="12.28515625" style="272" customWidth="1"/>
    <col min="6404" max="6404" width="14.7109375" style="272" customWidth="1"/>
    <col min="6405" max="6408" width="7.7109375" style="272" customWidth="1"/>
    <col min="6409" max="6409" width="16.5703125" style="272" customWidth="1"/>
    <col min="6410" max="6410" width="14.7109375" style="272" customWidth="1"/>
    <col min="6411" max="6411" width="3.7109375" style="272" customWidth="1"/>
    <col min="6412" max="6412" width="4.42578125" style="272" customWidth="1"/>
    <col min="6413" max="6413" width="5.5703125" style="272" customWidth="1"/>
    <col min="6414" max="6414" width="6.5703125" style="272" customWidth="1"/>
    <col min="6415" max="6415" width="18.28515625" style="272" customWidth="1"/>
    <col min="6416" max="6424" width="10.7109375" style="272" customWidth="1"/>
    <col min="6425" max="6645" width="14.42578125" style="272" customWidth="1"/>
    <col min="6646" max="6646" width="5.7109375" style="272" customWidth="1"/>
    <col min="6647" max="6647" width="12.7109375" style="272" customWidth="1"/>
    <col min="6648" max="6648" width="0" style="272" hidden="1" customWidth="1"/>
    <col min="6649" max="6649" width="11.42578125" style="272" customWidth="1"/>
    <col min="6650" max="6653" width="14.7109375" style="272" customWidth="1"/>
    <col min="6654" max="6654" width="16.140625" style="272" customWidth="1"/>
    <col min="6655" max="6655" width="5.7109375" style="272"/>
    <col min="6656" max="6656" width="3.7109375" style="272" customWidth="1"/>
    <col min="6657" max="6657" width="12.7109375" style="272" customWidth="1"/>
    <col min="6658" max="6658" width="1.7109375" style="272" customWidth="1"/>
    <col min="6659" max="6659" width="12.28515625" style="272" customWidth="1"/>
    <col min="6660" max="6660" width="14.7109375" style="272" customWidth="1"/>
    <col min="6661" max="6664" width="7.7109375" style="272" customWidth="1"/>
    <col min="6665" max="6665" width="16.5703125" style="272" customWidth="1"/>
    <col min="6666" max="6666" width="14.7109375" style="272" customWidth="1"/>
    <col min="6667" max="6667" width="3.7109375" style="272" customWidth="1"/>
    <col min="6668" max="6668" width="4.42578125" style="272" customWidth="1"/>
    <col min="6669" max="6669" width="5.5703125" style="272" customWidth="1"/>
    <col min="6670" max="6670" width="6.5703125" style="272" customWidth="1"/>
    <col min="6671" max="6671" width="18.28515625" style="272" customWidth="1"/>
    <col min="6672" max="6680" width="10.7109375" style="272" customWidth="1"/>
    <col min="6681" max="6901" width="14.42578125" style="272" customWidth="1"/>
    <col min="6902" max="6902" width="5.7109375" style="272" customWidth="1"/>
    <col min="6903" max="6903" width="12.7109375" style="272" customWidth="1"/>
    <col min="6904" max="6904" width="0" style="272" hidden="1" customWidth="1"/>
    <col min="6905" max="6905" width="11.42578125" style="272" customWidth="1"/>
    <col min="6906" max="6909" width="14.7109375" style="272" customWidth="1"/>
    <col min="6910" max="6910" width="16.140625" style="272" customWidth="1"/>
    <col min="6911" max="6911" width="5.7109375" style="272"/>
    <col min="6912" max="6912" width="3.7109375" style="272" customWidth="1"/>
    <col min="6913" max="6913" width="12.7109375" style="272" customWidth="1"/>
    <col min="6914" max="6914" width="1.7109375" style="272" customWidth="1"/>
    <col min="6915" max="6915" width="12.28515625" style="272" customWidth="1"/>
    <col min="6916" max="6916" width="14.7109375" style="272" customWidth="1"/>
    <col min="6917" max="6920" width="7.7109375" style="272" customWidth="1"/>
    <col min="6921" max="6921" width="16.5703125" style="272" customWidth="1"/>
    <col min="6922" max="6922" width="14.7109375" style="272" customWidth="1"/>
    <col min="6923" max="6923" width="3.7109375" style="272" customWidth="1"/>
    <col min="6924" max="6924" width="4.42578125" style="272" customWidth="1"/>
    <col min="6925" max="6925" width="5.5703125" style="272" customWidth="1"/>
    <col min="6926" max="6926" width="6.5703125" style="272" customWidth="1"/>
    <col min="6927" max="6927" width="18.28515625" style="272" customWidth="1"/>
    <col min="6928" max="6936" width="10.7109375" style="272" customWidth="1"/>
    <col min="6937" max="7157" width="14.42578125" style="272" customWidth="1"/>
    <col min="7158" max="7158" width="5.7109375" style="272" customWidth="1"/>
    <col min="7159" max="7159" width="12.7109375" style="272" customWidth="1"/>
    <col min="7160" max="7160" width="0" style="272" hidden="1" customWidth="1"/>
    <col min="7161" max="7161" width="11.42578125" style="272" customWidth="1"/>
    <col min="7162" max="7165" width="14.7109375" style="272" customWidth="1"/>
    <col min="7166" max="7166" width="16.140625" style="272" customWidth="1"/>
    <col min="7167" max="7167" width="5.7109375" style="272"/>
    <col min="7168" max="7168" width="3.7109375" style="272" customWidth="1"/>
    <col min="7169" max="7169" width="12.7109375" style="272" customWidth="1"/>
    <col min="7170" max="7170" width="1.7109375" style="272" customWidth="1"/>
    <col min="7171" max="7171" width="12.28515625" style="272" customWidth="1"/>
    <col min="7172" max="7172" width="14.7109375" style="272" customWidth="1"/>
    <col min="7173" max="7176" width="7.7109375" style="272" customWidth="1"/>
    <col min="7177" max="7177" width="16.5703125" style="272" customWidth="1"/>
    <col min="7178" max="7178" width="14.7109375" style="272" customWidth="1"/>
    <col min="7179" max="7179" width="3.7109375" style="272" customWidth="1"/>
    <col min="7180" max="7180" width="4.42578125" style="272" customWidth="1"/>
    <col min="7181" max="7181" width="5.5703125" style="272" customWidth="1"/>
    <col min="7182" max="7182" width="6.5703125" style="272" customWidth="1"/>
    <col min="7183" max="7183" width="18.28515625" style="272" customWidth="1"/>
    <col min="7184" max="7192" width="10.7109375" style="272" customWidth="1"/>
    <col min="7193" max="7413" width="14.42578125" style="272" customWidth="1"/>
    <col min="7414" max="7414" width="5.7109375" style="272" customWidth="1"/>
    <col min="7415" max="7415" width="12.7109375" style="272" customWidth="1"/>
    <col min="7416" max="7416" width="0" style="272" hidden="1" customWidth="1"/>
    <col min="7417" max="7417" width="11.42578125" style="272" customWidth="1"/>
    <col min="7418" max="7421" width="14.7109375" style="272" customWidth="1"/>
    <col min="7422" max="7422" width="16.140625" style="272" customWidth="1"/>
    <col min="7423" max="7423" width="5.7109375" style="272"/>
    <col min="7424" max="7424" width="3.7109375" style="272" customWidth="1"/>
    <col min="7425" max="7425" width="12.7109375" style="272" customWidth="1"/>
    <col min="7426" max="7426" width="1.7109375" style="272" customWidth="1"/>
    <col min="7427" max="7427" width="12.28515625" style="272" customWidth="1"/>
    <col min="7428" max="7428" width="14.7109375" style="272" customWidth="1"/>
    <col min="7429" max="7432" width="7.7109375" style="272" customWidth="1"/>
    <col min="7433" max="7433" width="16.5703125" style="272" customWidth="1"/>
    <col min="7434" max="7434" width="14.7109375" style="272" customWidth="1"/>
    <col min="7435" max="7435" width="3.7109375" style="272" customWidth="1"/>
    <col min="7436" max="7436" width="4.42578125" style="272" customWidth="1"/>
    <col min="7437" max="7437" width="5.5703125" style="272" customWidth="1"/>
    <col min="7438" max="7438" width="6.5703125" style="272" customWidth="1"/>
    <col min="7439" max="7439" width="18.28515625" style="272" customWidth="1"/>
    <col min="7440" max="7448" width="10.7109375" style="272" customWidth="1"/>
    <col min="7449" max="7669" width="14.42578125" style="272" customWidth="1"/>
    <col min="7670" max="7670" width="5.7109375" style="272" customWidth="1"/>
    <col min="7671" max="7671" width="12.7109375" style="272" customWidth="1"/>
    <col min="7672" max="7672" width="0" style="272" hidden="1" customWidth="1"/>
    <col min="7673" max="7673" width="11.42578125" style="272" customWidth="1"/>
    <col min="7674" max="7677" width="14.7109375" style="272" customWidth="1"/>
    <col min="7678" max="7678" width="16.140625" style="272" customWidth="1"/>
    <col min="7679" max="7679" width="5.7109375" style="272"/>
    <col min="7680" max="7680" width="3.7109375" style="272" customWidth="1"/>
    <col min="7681" max="7681" width="12.7109375" style="272" customWidth="1"/>
    <col min="7682" max="7682" width="1.7109375" style="272" customWidth="1"/>
    <col min="7683" max="7683" width="12.28515625" style="272" customWidth="1"/>
    <col min="7684" max="7684" width="14.7109375" style="272" customWidth="1"/>
    <col min="7685" max="7688" width="7.7109375" style="272" customWidth="1"/>
    <col min="7689" max="7689" width="16.5703125" style="272" customWidth="1"/>
    <col min="7690" max="7690" width="14.7109375" style="272" customWidth="1"/>
    <col min="7691" max="7691" width="3.7109375" style="272" customWidth="1"/>
    <col min="7692" max="7692" width="4.42578125" style="272" customWidth="1"/>
    <col min="7693" max="7693" width="5.5703125" style="272" customWidth="1"/>
    <col min="7694" max="7694" width="6.5703125" style="272" customWidth="1"/>
    <col min="7695" max="7695" width="18.28515625" style="272" customWidth="1"/>
    <col min="7696" max="7704" width="10.7109375" style="272" customWidth="1"/>
    <col min="7705" max="7925" width="14.42578125" style="272" customWidth="1"/>
    <col min="7926" max="7926" width="5.7109375" style="272" customWidth="1"/>
    <col min="7927" max="7927" width="12.7109375" style="272" customWidth="1"/>
    <col min="7928" max="7928" width="0" style="272" hidden="1" customWidth="1"/>
    <col min="7929" max="7929" width="11.42578125" style="272" customWidth="1"/>
    <col min="7930" max="7933" width="14.7109375" style="272" customWidth="1"/>
    <col min="7934" max="7934" width="16.140625" style="272" customWidth="1"/>
    <col min="7935" max="7935" width="5.7109375" style="272"/>
    <col min="7936" max="7936" width="3.7109375" style="272" customWidth="1"/>
    <col min="7937" max="7937" width="12.7109375" style="272" customWidth="1"/>
    <col min="7938" max="7938" width="1.7109375" style="272" customWidth="1"/>
    <col min="7939" max="7939" width="12.28515625" style="272" customWidth="1"/>
    <col min="7940" max="7940" width="14.7109375" style="272" customWidth="1"/>
    <col min="7941" max="7944" width="7.7109375" style="272" customWidth="1"/>
    <col min="7945" max="7945" width="16.5703125" style="272" customWidth="1"/>
    <col min="7946" max="7946" width="14.7109375" style="272" customWidth="1"/>
    <col min="7947" max="7947" width="3.7109375" style="272" customWidth="1"/>
    <col min="7948" max="7948" width="4.42578125" style="272" customWidth="1"/>
    <col min="7949" max="7949" width="5.5703125" style="272" customWidth="1"/>
    <col min="7950" max="7950" width="6.5703125" style="272" customWidth="1"/>
    <col min="7951" max="7951" width="18.28515625" style="272" customWidth="1"/>
    <col min="7952" max="7960" width="10.7109375" style="272" customWidth="1"/>
    <col min="7961" max="8181" width="14.42578125" style="272" customWidth="1"/>
    <col min="8182" max="8182" width="5.7109375" style="272" customWidth="1"/>
    <col min="8183" max="8183" width="12.7109375" style="272" customWidth="1"/>
    <col min="8184" max="8184" width="0" style="272" hidden="1" customWidth="1"/>
    <col min="8185" max="8185" width="11.42578125" style="272" customWidth="1"/>
    <col min="8186" max="8189" width="14.7109375" style="272" customWidth="1"/>
    <col min="8190" max="8190" width="16.140625" style="272" customWidth="1"/>
    <col min="8191" max="8191" width="5.7109375" style="272"/>
    <col min="8192" max="8192" width="3.7109375" style="272" customWidth="1"/>
    <col min="8193" max="8193" width="12.7109375" style="272" customWidth="1"/>
    <col min="8194" max="8194" width="1.7109375" style="272" customWidth="1"/>
    <col min="8195" max="8195" width="12.28515625" style="272" customWidth="1"/>
    <col min="8196" max="8196" width="14.7109375" style="272" customWidth="1"/>
    <col min="8197" max="8200" width="7.7109375" style="272" customWidth="1"/>
    <col min="8201" max="8201" width="16.5703125" style="272" customWidth="1"/>
    <col min="8202" max="8202" width="14.7109375" style="272" customWidth="1"/>
    <col min="8203" max="8203" width="3.7109375" style="272" customWidth="1"/>
    <col min="8204" max="8204" width="4.42578125" style="272" customWidth="1"/>
    <col min="8205" max="8205" width="5.5703125" style="272" customWidth="1"/>
    <col min="8206" max="8206" width="6.5703125" style="272" customWidth="1"/>
    <col min="8207" max="8207" width="18.28515625" style="272" customWidth="1"/>
    <col min="8208" max="8216" width="10.7109375" style="272" customWidth="1"/>
    <col min="8217" max="8437" width="14.42578125" style="272" customWidth="1"/>
    <col min="8438" max="8438" width="5.7109375" style="272" customWidth="1"/>
    <col min="8439" max="8439" width="12.7109375" style="272" customWidth="1"/>
    <col min="8440" max="8440" width="0" style="272" hidden="1" customWidth="1"/>
    <col min="8441" max="8441" width="11.42578125" style="272" customWidth="1"/>
    <col min="8442" max="8445" width="14.7109375" style="272" customWidth="1"/>
    <col min="8446" max="8446" width="16.140625" style="272" customWidth="1"/>
    <col min="8447" max="8447" width="5.7109375" style="272"/>
    <col min="8448" max="8448" width="3.7109375" style="272" customWidth="1"/>
    <col min="8449" max="8449" width="12.7109375" style="272" customWidth="1"/>
    <col min="8450" max="8450" width="1.7109375" style="272" customWidth="1"/>
    <col min="8451" max="8451" width="12.28515625" style="272" customWidth="1"/>
    <col min="8452" max="8452" width="14.7109375" style="272" customWidth="1"/>
    <col min="8453" max="8456" width="7.7109375" style="272" customWidth="1"/>
    <col min="8457" max="8457" width="16.5703125" style="272" customWidth="1"/>
    <col min="8458" max="8458" width="14.7109375" style="272" customWidth="1"/>
    <col min="8459" max="8459" width="3.7109375" style="272" customWidth="1"/>
    <col min="8460" max="8460" width="4.42578125" style="272" customWidth="1"/>
    <col min="8461" max="8461" width="5.5703125" style="272" customWidth="1"/>
    <col min="8462" max="8462" width="6.5703125" style="272" customWidth="1"/>
    <col min="8463" max="8463" width="18.28515625" style="272" customWidth="1"/>
    <col min="8464" max="8472" width="10.7109375" style="272" customWidth="1"/>
    <col min="8473" max="8693" width="14.42578125" style="272" customWidth="1"/>
    <col min="8694" max="8694" width="5.7109375" style="272" customWidth="1"/>
    <col min="8695" max="8695" width="12.7109375" style="272" customWidth="1"/>
    <col min="8696" max="8696" width="0" style="272" hidden="1" customWidth="1"/>
    <col min="8697" max="8697" width="11.42578125" style="272" customWidth="1"/>
    <col min="8698" max="8701" width="14.7109375" style="272" customWidth="1"/>
    <col min="8702" max="8702" width="16.140625" style="272" customWidth="1"/>
    <col min="8703" max="8703" width="5.7109375" style="272"/>
    <col min="8704" max="8704" width="3.7109375" style="272" customWidth="1"/>
    <col min="8705" max="8705" width="12.7109375" style="272" customWidth="1"/>
    <col min="8706" max="8706" width="1.7109375" style="272" customWidth="1"/>
    <col min="8707" max="8707" width="12.28515625" style="272" customWidth="1"/>
    <col min="8708" max="8708" width="14.7109375" style="272" customWidth="1"/>
    <col min="8709" max="8712" width="7.7109375" style="272" customWidth="1"/>
    <col min="8713" max="8713" width="16.5703125" style="272" customWidth="1"/>
    <col min="8714" max="8714" width="14.7109375" style="272" customWidth="1"/>
    <col min="8715" max="8715" width="3.7109375" style="272" customWidth="1"/>
    <col min="8716" max="8716" width="4.42578125" style="272" customWidth="1"/>
    <col min="8717" max="8717" width="5.5703125" style="272" customWidth="1"/>
    <col min="8718" max="8718" width="6.5703125" style="272" customWidth="1"/>
    <col min="8719" max="8719" width="18.28515625" style="272" customWidth="1"/>
    <col min="8720" max="8728" width="10.7109375" style="272" customWidth="1"/>
    <col min="8729" max="8949" width="14.42578125" style="272" customWidth="1"/>
    <col min="8950" max="8950" width="5.7109375" style="272" customWidth="1"/>
    <col min="8951" max="8951" width="12.7109375" style="272" customWidth="1"/>
    <col min="8952" max="8952" width="0" style="272" hidden="1" customWidth="1"/>
    <col min="8953" max="8953" width="11.42578125" style="272" customWidth="1"/>
    <col min="8954" max="8957" width="14.7109375" style="272" customWidth="1"/>
    <col min="8958" max="8958" width="16.140625" style="272" customWidth="1"/>
    <col min="8959" max="8959" width="5.7109375" style="272"/>
    <col min="8960" max="8960" width="3.7109375" style="272" customWidth="1"/>
    <col min="8961" max="8961" width="12.7109375" style="272" customWidth="1"/>
    <col min="8962" max="8962" width="1.7109375" style="272" customWidth="1"/>
    <col min="8963" max="8963" width="12.28515625" style="272" customWidth="1"/>
    <col min="8964" max="8964" width="14.7109375" style="272" customWidth="1"/>
    <col min="8965" max="8968" width="7.7109375" style="272" customWidth="1"/>
    <col min="8969" max="8969" width="16.5703125" style="272" customWidth="1"/>
    <col min="8970" max="8970" width="14.7109375" style="272" customWidth="1"/>
    <col min="8971" max="8971" width="3.7109375" style="272" customWidth="1"/>
    <col min="8972" max="8972" width="4.42578125" style="272" customWidth="1"/>
    <col min="8973" max="8973" width="5.5703125" style="272" customWidth="1"/>
    <col min="8974" max="8974" width="6.5703125" style="272" customWidth="1"/>
    <col min="8975" max="8975" width="18.28515625" style="272" customWidth="1"/>
    <col min="8976" max="8984" width="10.7109375" style="272" customWidth="1"/>
    <col min="8985" max="9205" width="14.42578125" style="272" customWidth="1"/>
    <col min="9206" max="9206" width="5.7109375" style="272" customWidth="1"/>
    <col min="9207" max="9207" width="12.7109375" style="272" customWidth="1"/>
    <col min="9208" max="9208" width="0" style="272" hidden="1" customWidth="1"/>
    <col min="9209" max="9209" width="11.42578125" style="272" customWidth="1"/>
    <col min="9210" max="9213" width="14.7109375" style="272" customWidth="1"/>
    <col min="9214" max="9214" width="16.140625" style="272" customWidth="1"/>
    <col min="9215" max="9215" width="5.7109375" style="272"/>
    <col min="9216" max="9216" width="3.7109375" style="272" customWidth="1"/>
    <col min="9217" max="9217" width="12.7109375" style="272" customWidth="1"/>
    <col min="9218" max="9218" width="1.7109375" style="272" customWidth="1"/>
    <col min="9219" max="9219" width="12.28515625" style="272" customWidth="1"/>
    <col min="9220" max="9220" width="14.7109375" style="272" customWidth="1"/>
    <col min="9221" max="9224" width="7.7109375" style="272" customWidth="1"/>
    <col min="9225" max="9225" width="16.5703125" style="272" customWidth="1"/>
    <col min="9226" max="9226" width="14.7109375" style="272" customWidth="1"/>
    <col min="9227" max="9227" width="3.7109375" style="272" customWidth="1"/>
    <col min="9228" max="9228" width="4.42578125" style="272" customWidth="1"/>
    <col min="9229" max="9229" width="5.5703125" style="272" customWidth="1"/>
    <col min="9230" max="9230" width="6.5703125" style="272" customWidth="1"/>
    <col min="9231" max="9231" width="18.28515625" style="272" customWidth="1"/>
    <col min="9232" max="9240" width="10.7109375" style="272" customWidth="1"/>
    <col min="9241" max="9461" width="14.42578125" style="272" customWidth="1"/>
    <col min="9462" max="9462" width="5.7109375" style="272" customWidth="1"/>
    <col min="9463" max="9463" width="12.7109375" style="272" customWidth="1"/>
    <col min="9464" max="9464" width="0" style="272" hidden="1" customWidth="1"/>
    <col min="9465" max="9465" width="11.42578125" style="272" customWidth="1"/>
    <col min="9466" max="9469" width="14.7109375" style="272" customWidth="1"/>
    <col min="9470" max="9470" width="16.140625" style="272" customWidth="1"/>
    <col min="9471" max="9471" width="5.7109375" style="272"/>
    <col min="9472" max="9472" width="3.7109375" style="272" customWidth="1"/>
    <col min="9473" max="9473" width="12.7109375" style="272" customWidth="1"/>
    <col min="9474" max="9474" width="1.7109375" style="272" customWidth="1"/>
    <col min="9475" max="9475" width="12.28515625" style="272" customWidth="1"/>
    <col min="9476" max="9476" width="14.7109375" style="272" customWidth="1"/>
    <col min="9477" max="9480" width="7.7109375" style="272" customWidth="1"/>
    <col min="9481" max="9481" width="16.5703125" style="272" customWidth="1"/>
    <col min="9482" max="9482" width="14.7109375" style="272" customWidth="1"/>
    <col min="9483" max="9483" width="3.7109375" style="272" customWidth="1"/>
    <col min="9484" max="9484" width="4.42578125" style="272" customWidth="1"/>
    <col min="9485" max="9485" width="5.5703125" style="272" customWidth="1"/>
    <col min="9486" max="9486" width="6.5703125" style="272" customWidth="1"/>
    <col min="9487" max="9487" width="18.28515625" style="272" customWidth="1"/>
    <col min="9488" max="9496" width="10.7109375" style="272" customWidth="1"/>
    <col min="9497" max="9717" width="14.42578125" style="272" customWidth="1"/>
    <col min="9718" max="9718" width="5.7109375" style="272" customWidth="1"/>
    <col min="9719" max="9719" width="12.7109375" style="272" customWidth="1"/>
    <col min="9720" max="9720" width="0" style="272" hidden="1" customWidth="1"/>
    <col min="9721" max="9721" width="11.42578125" style="272" customWidth="1"/>
    <col min="9722" max="9725" width="14.7109375" style="272" customWidth="1"/>
    <col min="9726" max="9726" width="16.140625" style="272" customWidth="1"/>
    <col min="9727" max="9727" width="5.7109375" style="272"/>
    <col min="9728" max="9728" width="3.7109375" style="272" customWidth="1"/>
    <col min="9729" max="9729" width="12.7109375" style="272" customWidth="1"/>
    <col min="9730" max="9730" width="1.7109375" style="272" customWidth="1"/>
    <col min="9731" max="9731" width="12.28515625" style="272" customWidth="1"/>
    <col min="9732" max="9732" width="14.7109375" style="272" customWidth="1"/>
    <col min="9733" max="9736" width="7.7109375" style="272" customWidth="1"/>
    <col min="9737" max="9737" width="16.5703125" style="272" customWidth="1"/>
    <col min="9738" max="9738" width="14.7109375" style="272" customWidth="1"/>
    <col min="9739" max="9739" width="3.7109375" style="272" customWidth="1"/>
    <col min="9740" max="9740" width="4.42578125" style="272" customWidth="1"/>
    <col min="9741" max="9741" width="5.5703125" style="272" customWidth="1"/>
    <col min="9742" max="9742" width="6.5703125" style="272" customWidth="1"/>
    <col min="9743" max="9743" width="18.28515625" style="272" customWidth="1"/>
    <col min="9744" max="9752" width="10.7109375" style="272" customWidth="1"/>
    <col min="9753" max="9973" width="14.42578125" style="272" customWidth="1"/>
    <col min="9974" max="9974" width="5.7109375" style="272" customWidth="1"/>
    <col min="9975" max="9975" width="12.7109375" style="272" customWidth="1"/>
    <col min="9976" max="9976" width="0" style="272" hidden="1" customWidth="1"/>
    <col min="9977" max="9977" width="11.42578125" style="272" customWidth="1"/>
    <col min="9978" max="9981" width="14.7109375" style="272" customWidth="1"/>
    <col min="9982" max="9982" width="16.140625" style="272" customWidth="1"/>
    <col min="9983" max="9983" width="5.7109375" style="272"/>
    <col min="9984" max="9984" width="3.7109375" style="272" customWidth="1"/>
    <col min="9985" max="9985" width="12.7109375" style="272" customWidth="1"/>
    <col min="9986" max="9986" width="1.7109375" style="272" customWidth="1"/>
    <col min="9987" max="9987" width="12.28515625" style="272" customWidth="1"/>
    <col min="9988" max="9988" width="14.7109375" style="272" customWidth="1"/>
    <col min="9989" max="9992" width="7.7109375" style="272" customWidth="1"/>
    <col min="9993" max="9993" width="16.5703125" style="272" customWidth="1"/>
    <col min="9994" max="9994" width="14.7109375" style="272" customWidth="1"/>
    <col min="9995" max="9995" width="3.7109375" style="272" customWidth="1"/>
    <col min="9996" max="9996" width="4.42578125" style="272" customWidth="1"/>
    <col min="9997" max="9997" width="5.5703125" style="272" customWidth="1"/>
    <col min="9998" max="9998" width="6.5703125" style="272" customWidth="1"/>
    <col min="9999" max="9999" width="18.28515625" style="272" customWidth="1"/>
    <col min="10000" max="10008" width="10.7109375" style="272" customWidth="1"/>
    <col min="10009" max="10229" width="14.42578125" style="272" customWidth="1"/>
    <col min="10230" max="10230" width="5.7109375" style="272" customWidth="1"/>
    <col min="10231" max="10231" width="12.7109375" style="272" customWidth="1"/>
    <col min="10232" max="10232" width="0" style="272" hidden="1" customWidth="1"/>
    <col min="10233" max="10233" width="11.42578125" style="272" customWidth="1"/>
    <col min="10234" max="10237" width="14.7109375" style="272" customWidth="1"/>
    <col min="10238" max="10238" width="16.140625" style="272" customWidth="1"/>
    <col min="10239" max="10239" width="5.7109375" style="272"/>
    <col min="10240" max="10240" width="3.7109375" style="272" customWidth="1"/>
    <col min="10241" max="10241" width="12.7109375" style="272" customWidth="1"/>
    <col min="10242" max="10242" width="1.7109375" style="272" customWidth="1"/>
    <col min="10243" max="10243" width="12.28515625" style="272" customWidth="1"/>
    <col min="10244" max="10244" width="14.7109375" style="272" customWidth="1"/>
    <col min="10245" max="10248" width="7.7109375" style="272" customWidth="1"/>
    <col min="10249" max="10249" width="16.5703125" style="272" customWidth="1"/>
    <col min="10250" max="10250" width="14.7109375" style="272" customWidth="1"/>
    <col min="10251" max="10251" width="3.7109375" style="272" customWidth="1"/>
    <col min="10252" max="10252" width="4.42578125" style="272" customWidth="1"/>
    <col min="10253" max="10253" width="5.5703125" style="272" customWidth="1"/>
    <col min="10254" max="10254" width="6.5703125" style="272" customWidth="1"/>
    <col min="10255" max="10255" width="18.28515625" style="272" customWidth="1"/>
    <col min="10256" max="10264" width="10.7109375" style="272" customWidth="1"/>
    <col min="10265" max="10485" width="14.42578125" style="272" customWidth="1"/>
    <col min="10486" max="10486" width="5.7109375" style="272" customWidth="1"/>
    <col min="10487" max="10487" width="12.7109375" style="272" customWidth="1"/>
    <col min="10488" max="10488" width="0" style="272" hidden="1" customWidth="1"/>
    <col min="10489" max="10489" width="11.42578125" style="272" customWidth="1"/>
    <col min="10490" max="10493" width="14.7109375" style="272" customWidth="1"/>
    <col min="10494" max="10494" width="16.140625" style="272" customWidth="1"/>
    <col min="10495" max="10495" width="5.7109375" style="272"/>
    <col min="10496" max="10496" width="3.7109375" style="272" customWidth="1"/>
    <col min="10497" max="10497" width="12.7109375" style="272" customWidth="1"/>
    <col min="10498" max="10498" width="1.7109375" style="272" customWidth="1"/>
    <col min="10499" max="10499" width="12.28515625" style="272" customWidth="1"/>
    <col min="10500" max="10500" width="14.7109375" style="272" customWidth="1"/>
    <col min="10501" max="10504" width="7.7109375" style="272" customWidth="1"/>
    <col min="10505" max="10505" width="16.5703125" style="272" customWidth="1"/>
    <col min="10506" max="10506" width="14.7109375" style="272" customWidth="1"/>
    <col min="10507" max="10507" width="3.7109375" style="272" customWidth="1"/>
    <col min="10508" max="10508" width="4.42578125" style="272" customWidth="1"/>
    <col min="10509" max="10509" width="5.5703125" style="272" customWidth="1"/>
    <col min="10510" max="10510" width="6.5703125" style="272" customWidth="1"/>
    <col min="10511" max="10511" width="18.28515625" style="272" customWidth="1"/>
    <col min="10512" max="10520" width="10.7109375" style="272" customWidth="1"/>
    <col min="10521" max="10741" width="14.42578125" style="272" customWidth="1"/>
    <col min="10742" max="10742" width="5.7109375" style="272" customWidth="1"/>
    <col min="10743" max="10743" width="12.7109375" style="272" customWidth="1"/>
    <col min="10744" max="10744" width="0" style="272" hidden="1" customWidth="1"/>
    <col min="10745" max="10745" width="11.42578125" style="272" customWidth="1"/>
    <col min="10746" max="10749" width="14.7109375" style="272" customWidth="1"/>
    <col min="10750" max="10750" width="16.140625" style="272" customWidth="1"/>
    <col min="10751" max="10751" width="5.7109375" style="272"/>
    <col min="10752" max="10752" width="3.7109375" style="272" customWidth="1"/>
    <col min="10753" max="10753" width="12.7109375" style="272" customWidth="1"/>
    <col min="10754" max="10754" width="1.7109375" style="272" customWidth="1"/>
    <col min="10755" max="10755" width="12.28515625" style="272" customWidth="1"/>
    <col min="10756" max="10756" width="14.7109375" style="272" customWidth="1"/>
    <col min="10757" max="10760" width="7.7109375" style="272" customWidth="1"/>
    <col min="10761" max="10761" width="16.5703125" style="272" customWidth="1"/>
    <col min="10762" max="10762" width="14.7109375" style="272" customWidth="1"/>
    <col min="10763" max="10763" width="3.7109375" style="272" customWidth="1"/>
    <col min="10764" max="10764" width="4.42578125" style="272" customWidth="1"/>
    <col min="10765" max="10765" width="5.5703125" style="272" customWidth="1"/>
    <col min="10766" max="10766" width="6.5703125" style="272" customWidth="1"/>
    <col min="10767" max="10767" width="18.28515625" style="272" customWidth="1"/>
    <col min="10768" max="10776" width="10.7109375" style="272" customWidth="1"/>
    <col min="10777" max="10997" width="14.42578125" style="272" customWidth="1"/>
    <col min="10998" max="10998" width="5.7109375" style="272" customWidth="1"/>
    <col min="10999" max="10999" width="12.7109375" style="272" customWidth="1"/>
    <col min="11000" max="11000" width="0" style="272" hidden="1" customWidth="1"/>
    <col min="11001" max="11001" width="11.42578125" style="272" customWidth="1"/>
    <col min="11002" max="11005" width="14.7109375" style="272" customWidth="1"/>
    <col min="11006" max="11006" width="16.140625" style="272" customWidth="1"/>
    <col min="11007" max="11007" width="5.7109375" style="272"/>
    <col min="11008" max="11008" width="3.7109375" style="272" customWidth="1"/>
    <col min="11009" max="11009" width="12.7109375" style="272" customWidth="1"/>
    <col min="11010" max="11010" width="1.7109375" style="272" customWidth="1"/>
    <col min="11011" max="11011" width="12.28515625" style="272" customWidth="1"/>
    <col min="11012" max="11012" width="14.7109375" style="272" customWidth="1"/>
    <col min="11013" max="11016" width="7.7109375" style="272" customWidth="1"/>
    <col min="11017" max="11017" width="16.5703125" style="272" customWidth="1"/>
    <col min="11018" max="11018" width="14.7109375" style="272" customWidth="1"/>
    <col min="11019" max="11019" width="3.7109375" style="272" customWidth="1"/>
    <col min="11020" max="11020" width="4.42578125" style="272" customWidth="1"/>
    <col min="11021" max="11021" width="5.5703125" style="272" customWidth="1"/>
    <col min="11022" max="11022" width="6.5703125" style="272" customWidth="1"/>
    <col min="11023" max="11023" width="18.28515625" style="272" customWidth="1"/>
    <col min="11024" max="11032" width="10.7109375" style="272" customWidth="1"/>
    <col min="11033" max="11253" width="14.42578125" style="272" customWidth="1"/>
    <col min="11254" max="11254" width="5.7109375" style="272" customWidth="1"/>
    <col min="11255" max="11255" width="12.7109375" style="272" customWidth="1"/>
    <col min="11256" max="11256" width="0" style="272" hidden="1" customWidth="1"/>
    <col min="11257" max="11257" width="11.42578125" style="272" customWidth="1"/>
    <col min="11258" max="11261" width="14.7109375" style="272" customWidth="1"/>
    <col min="11262" max="11262" width="16.140625" style="272" customWidth="1"/>
    <col min="11263" max="11263" width="5.7109375" style="272"/>
    <col min="11264" max="11264" width="3.7109375" style="272" customWidth="1"/>
    <col min="11265" max="11265" width="12.7109375" style="272" customWidth="1"/>
    <col min="11266" max="11266" width="1.7109375" style="272" customWidth="1"/>
    <col min="11267" max="11267" width="12.28515625" style="272" customWidth="1"/>
    <col min="11268" max="11268" width="14.7109375" style="272" customWidth="1"/>
    <col min="11269" max="11272" width="7.7109375" style="272" customWidth="1"/>
    <col min="11273" max="11273" width="16.5703125" style="272" customWidth="1"/>
    <col min="11274" max="11274" width="14.7109375" style="272" customWidth="1"/>
    <col min="11275" max="11275" width="3.7109375" style="272" customWidth="1"/>
    <col min="11276" max="11276" width="4.42578125" style="272" customWidth="1"/>
    <col min="11277" max="11277" width="5.5703125" style="272" customWidth="1"/>
    <col min="11278" max="11278" width="6.5703125" style="272" customWidth="1"/>
    <col min="11279" max="11279" width="18.28515625" style="272" customWidth="1"/>
    <col min="11280" max="11288" width="10.7109375" style="272" customWidth="1"/>
    <col min="11289" max="11509" width="14.42578125" style="272" customWidth="1"/>
    <col min="11510" max="11510" width="5.7109375" style="272" customWidth="1"/>
    <col min="11511" max="11511" width="12.7109375" style="272" customWidth="1"/>
    <col min="11512" max="11512" width="0" style="272" hidden="1" customWidth="1"/>
    <col min="11513" max="11513" width="11.42578125" style="272" customWidth="1"/>
    <col min="11514" max="11517" width="14.7109375" style="272" customWidth="1"/>
    <col min="11518" max="11518" width="16.140625" style="272" customWidth="1"/>
    <col min="11519" max="11519" width="5.7109375" style="272"/>
    <col min="11520" max="11520" width="3.7109375" style="272" customWidth="1"/>
    <col min="11521" max="11521" width="12.7109375" style="272" customWidth="1"/>
    <col min="11522" max="11522" width="1.7109375" style="272" customWidth="1"/>
    <col min="11523" max="11523" width="12.28515625" style="272" customWidth="1"/>
    <col min="11524" max="11524" width="14.7109375" style="272" customWidth="1"/>
    <col min="11525" max="11528" width="7.7109375" style="272" customWidth="1"/>
    <col min="11529" max="11529" width="16.5703125" style="272" customWidth="1"/>
    <col min="11530" max="11530" width="14.7109375" style="272" customWidth="1"/>
    <col min="11531" max="11531" width="3.7109375" style="272" customWidth="1"/>
    <col min="11532" max="11532" width="4.42578125" style="272" customWidth="1"/>
    <col min="11533" max="11533" width="5.5703125" style="272" customWidth="1"/>
    <col min="11534" max="11534" width="6.5703125" style="272" customWidth="1"/>
    <col min="11535" max="11535" width="18.28515625" style="272" customWidth="1"/>
    <col min="11536" max="11544" width="10.7109375" style="272" customWidth="1"/>
    <col min="11545" max="11765" width="14.42578125" style="272" customWidth="1"/>
    <col min="11766" max="11766" width="5.7109375" style="272" customWidth="1"/>
    <col min="11767" max="11767" width="12.7109375" style="272" customWidth="1"/>
    <col min="11768" max="11768" width="0" style="272" hidden="1" customWidth="1"/>
    <col min="11769" max="11769" width="11.42578125" style="272" customWidth="1"/>
    <col min="11770" max="11773" width="14.7109375" style="272" customWidth="1"/>
    <col min="11774" max="11774" width="16.140625" style="272" customWidth="1"/>
    <col min="11775" max="11775" width="5.7109375" style="272"/>
    <col min="11776" max="11776" width="3.7109375" style="272" customWidth="1"/>
    <col min="11777" max="11777" width="12.7109375" style="272" customWidth="1"/>
    <col min="11778" max="11778" width="1.7109375" style="272" customWidth="1"/>
    <col min="11779" max="11779" width="12.28515625" style="272" customWidth="1"/>
    <col min="11780" max="11780" width="14.7109375" style="272" customWidth="1"/>
    <col min="11781" max="11784" width="7.7109375" style="272" customWidth="1"/>
    <col min="11785" max="11785" width="16.5703125" style="272" customWidth="1"/>
    <col min="11786" max="11786" width="14.7109375" style="272" customWidth="1"/>
    <col min="11787" max="11787" width="3.7109375" style="272" customWidth="1"/>
    <col min="11788" max="11788" width="4.42578125" style="272" customWidth="1"/>
    <col min="11789" max="11789" width="5.5703125" style="272" customWidth="1"/>
    <col min="11790" max="11790" width="6.5703125" style="272" customWidth="1"/>
    <col min="11791" max="11791" width="18.28515625" style="272" customWidth="1"/>
    <col min="11792" max="11800" width="10.7109375" style="272" customWidth="1"/>
    <col min="11801" max="12021" width="14.42578125" style="272" customWidth="1"/>
    <col min="12022" max="12022" width="5.7109375" style="272" customWidth="1"/>
    <col min="12023" max="12023" width="12.7109375" style="272" customWidth="1"/>
    <col min="12024" max="12024" width="0" style="272" hidden="1" customWidth="1"/>
    <col min="12025" max="12025" width="11.42578125" style="272" customWidth="1"/>
    <col min="12026" max="12029" width="14.7109375" style="272" customWidth="1"/>
    <col min="12030" max="12030" width="16.140625" style="272" customWidth="1"/>
    <col min="12031" max="12031" width="5.7109375" style="272"/>
    <col min="12032" max="12032" width="3.7109375" style="272" customWidth="1"/>
    <col min="12033" max="12033" width="12.7109375" style="272" customWidth="1"/>
    <col min="12034" max="12034" width="1.7109375" style="272" customWidth="1"/>
    <col min="12035" max="12035" width="12.28515625" style="272" customWidth="1"/>
    <col min="12036" max="12036" width="14.7109375" style="272" customWidth="1"/>
    <col min="12037" max="12040" width="7.7109375" style="272" customWidth="1"/>
    <col min="12041" max="12041" width="16.5703125" style="272" customWidth="1"/>
    <col min="12042" max="12042" width="14.7109375" style="272" customWidth="1"/>
    <col min="12043" max="12043" width="3.7109375" style="272" customWidth="1"/>
    <col min="12044" max="12044" width="4.42578125" style="272" customWidth="1"/>
    <col min="12045" max="12045" width="5.5703125" style="272" customWidth="1"/>
    <col min="12046" max="12046" width="6.5703125" style="272" customWidth="1"/>
    <col min="12047" max="12047" width="18.28515625" style="272" customWidth="1"/>
    <col min="12048" max="12056" width="10.7109375" style="272" customWidth="1"/>
    <col min="12057" max="12277" width="14.42578125" style="272" customWidth="1"/>
    <col min="12278" max="12278" width="5.7109375" style="272" customWidth="1"/>
    <col min="12279" max="12279" width="12.7109375" style="272" customWidth="1"/>
    <col min="12280" max="12280" width="0" style="272" hidden="1" customWidth="1"/>
    <col min="12281" max="12281" width="11.42578125" style="272" customWidth="1"/>
    <col min="12282" max="12285" width="14.7109375" style="272" customWidth="1"/>
    <col min="12286" max="12286" width="16.140625" style="272" customWidth="1"/>
    <col min="12287" max="12287" width="5.7109375" style="272"/>
    <col min="12288" max="12288" width="3.7109375" style="272" customWidth="1"/>
    <col min="12289" max="12289" width="12.7109375" style="272" customWidth="1"/>
    <col min="12290" max="12290" width="1.7109375" style="272" customWidth="1"/>
    <col min="12291" max="12291" width="12.28515625" style="272" customWidth="1"/>
    <col min="12292" max="12292" width="14.7109375" style="272" customWidth="1"/>
    <col min="12293" max="12296" width="7.7109375" style="272" customWidth="1"/>
    <col min="12297" max="12297" width="16.5703125" style="272" customWidth="1"/>
    <col min="12298" max="12298" width="14.7109375" style="272" customWidth="1"/>
    <col min="12299" max="12299" width="3.7109375" style="272" customWidth="1"/>
    <col min="12300" max="12300" width="4.42578125" style="272" customWidth="1"/>
    <col min="12301" max="12301" width="5.5703125" style="272" customWidth="1"/>
    <col min="12302" max="12302" width="6.5703125" style="272" customWidth="1"/>
    <col min="12303" max="12303" width="18.28515625" style="272" customWidth="1"/>
    <col min="12304" max="12312" width="10.7109375" style="272" customWidth="1"/>
    <col min="12313" max="12533" width="14.42578125" style="272" customWidth="1"/>
    <col min="12534" max="12534" width="5.7109375" style="272" customWidth="1"/>
    <col min="12535" max="12535" width="12.7109375" style="272" customWidth="1"/>
    <col min="12536" max="12536" width="0" style="272" hidden="1" customWidth="1"/>
    <col min="12537" max="12537" width="11.42578125" style="272" customWidth="1"/>
    <col min="12538" max="12541" width="14.7109375" style="272" customWidth="1"/>
    <col min="12542" max="12542" width="16.140625" style="272" customWidth="1"/>
    <col min="12543" max="12543" width="5.7109375" style="272"/>
    <col min="12544" max="12544" width="3.7109375" style="272" customWidth="1"/>
    <col min="12545" max="12545" width="12.7109375" style="272" customWidth="1"/>
    <col min="12546" max="12546" width="1.7109375" style="272" customWidth="1"/>
    <col min="12547" max="12547" width="12.28515625" style="272" customWidth="1"/>
    <col min="12548" max="12548" width="14.7109375" style="272" customWidth="1"/>
    <col min="12549" max="12552" width="7.7109375" style="272" customWidth="1"/>
    <col min="12553" max="12553" width="16.5703125" style="272" customWidth="1"/>
    <col min="12554" max="12554" width="14.7109375" style="272" customWidth="1"/>
    <col min="12555" max="12555" width="3.7109375" style="272" customWidth="1"/>
    <col min="12556" max="12556" width="4.42578125" style="272" customWidth="1"/>
    <col min="12557" max="12557" width="5.5703125" style="272" customWidth="1"/>
    <col min="12558" max="12558" width="6.5703125" style="272" customWidth="1"/>
    <col min="12559" max="12559" width="18.28515625" style="272" customWidth="1"/>
    <col min="12560" max="12568" width="10.7109375" style="272" customWidth="1"/>
    <col min="12569" max="12789" width="14.42578125" style="272" customWidth="1"/>
    <col min="12790" max="12790" width="5.7109375" style="272" customWidth="1"/>
    <col min="12791" max="12791" width="12.7109375" style="272" customWidth="1"/>
    <col min="12792" max="12792" width="0" style="272" hidden="1" customWidth="1"/>
    <col min="12793" max="12793" width="11.42578125" style="272" customWidth="1"/>
    <col min="12794" max="12797" width="14.7109375" style="272" customWidth="1"/>
    <col min="12798" max="12798" width="16.140625" style="272" customWidth="1"/>
    <col min="12799" max="12799" width="5.7109375" style="272"/>
    <col min="12800" max="12800" width="3.7109375" style="272" customWidth="1"/>
    <col min="12801" max="12801" width="12.7109375" style="272" customWidth="1"/>
    <col min="12802" max="12802" width="1.7109375" style="272" customWidth="1"/>
    <col min="12803" max="12803" width="12.28515625" style="272" customWidth="1"/>
    <col min="12804" max="12804" width="14.7109375" style="272" customWidth="1"/>
    <col min="12805" max="12808" width="7.7109375" style="272" customWidth="1"/>
    <col min="12809" max="12809" width="16.5703125" style="272" customWidth="1"/>
    <col min="12810" max="12810" width="14.7109375" style="272" customWidth="1"/>
    <col min="12811" max="12811" width="3.7109375" style="272" customWidth="1"/>
    <col min="12812" max="12812" width="4.42578125" style="272" customWidth="1"/>
    <col min="12813" max="12813" width="5.5703125" style="272" customWidth="1"/>
    <col min="12814" max="12814" width="6.5703125" style="272" customWidth="1"/>
    <col min="12815" max="12815" width="18.28515625" style="272" customWidth="1"/>
    <col min="12816" max="12824" width="10.7109375" style="272" customWidth="1"/>
    <col min="12825" max="13045" width="14.42578125" style="272" customWidth="1"/>
    <col min="13046" max="13046" width="5.7109375" style="272" customWidth="1"/>
    <col min="13047" max="13047" width="12.7109375" style="272" customWidth="1"/>
    <col min="13048" max="13048" width="0" style="272" hidden="1" customWidth="1"/>
    <col min="13049" max="13049" width="11.42578125" style="272" customWidth="1"/>
    <col min="13050" max="13053" width="14.7109375" style="272" customWidth="1"/>
    <col min="13054" max="13054" width="16.140625" style="272" customWidth="1"/>
    <col min="13055" max="13055" width="5.7109375" style="272"/>
    <col min="13056" max="13056" width="3.7109375" style="272" customWidth="1"/>
    <col min="13057" max="13057" width="12.7109375" style="272" customWidth="1"/>
    <col min="13058" max="13058" width="1.7109375" style="272" customWidth="1"/>
    <col min="13059" max="13059" width="12.28515625" style="272" customWidth="1"/>
    <col min="13060" max="13060" width="14.7109375" style="272" customWidth="1"/>
    <col min="13061" max="13064" width="7.7109375" style="272" customWidth="1"/>
    <col min="13065" max="13065" width="16.5703125" style="272" customWidth="1"/>
    <col min="13066" max="13066" width="14.7109375" style="272" customWidth="1"/>
    <col min="13067" max="13067" width="3.7109375" style="272" customWidth="1"/>
    <col min="13068" max="13068" width="4.42578125" style="272" customWidth="1"/>
    <col min="13069" max="13069" width="5.5703125" style="272" customWidth="1"/>
    <col min="13070" max="13070" width="6.5703125" style="272" customWidth="1"/>
    <col min="13071" max="13071" width="18.28515625" style="272" customWidth="1"/>
    <col min="13072" max="13080" width="10.7109375" style="272" customWidth="1"/>
    <col min="13081" max="13301" width="14.42578125" style="272" customWidth="1"/>
    <col min="13302" max="13302" width="5.7109375" style="272" customWidth="1"/>
    <col min="13303" max="13303" width="12.7109375" style="272" customWidth="1"/>
    <col min="13304" max="13304" width="0" style="272" hidden="1" customWidth="1"/>
    <col min="13305" max="13305" width="11.42578125" style="272" customWidth="1"/>
    <col min="13306" max="13309" width="14.7109375" style="272" customWidth="1"/>
    <col min="13310" max="13310" width="16.140625" style="272" customWidth="1"/>
    <col min="13311" max="13311" width="5.7109375" style="272"/>
    <col min="13312" max="13312" width="3.7109375" style="272" customWidth="1"/>
    <col min="13313" max="13313" width="12.7109375" style="272" customWidth="1"/>
    <col min="13314" max="13314" width="1.7109375" style="272" customWidth="1"/>
    <col min="13315" max="13315" width="12.28515625" style="272" customWidth="1"/>
    <col min="13316" max="13316" width="14.7109375" style="272" customWidth="1"/>
    <col min="13317" max="13320" width="7.7109375" style="272" customWidth="1"/>
    <col min="13321" max="13321" width="16.5703125" style="272" customWidth="1"/>
    <col min="13322" max="13322" width="14.7109375" style="272" customWidth="1"/>
    <col min="13323" max="13323" width="3.7109375" style="272" customWidth="1"/>
    <col min="13324" max="13324" width="4.42578125" style="272" customWidth="1"/>
    <col min="13325" max="13325" width="5.5703125" style="272" customWidth="1"/>
    <col min="13326" max="13326" width="6.5703125" style="272" customWidth="1"/>
    <col min="13327" max="13327" width="18.28515625" style="272" customWidth="1"/>
    <col min="13328" max="13336" width="10.7109375" style="272" customWidth="1"/>
    <col min="13337" max="13557" width="14.42578125" style="272" customWidth="1"/>
    <col min="13558" max="13558" width="5.7109375" style="272" customWidth="1"/>
    <col min="13559" max="13559" width="12.7109375" style="272" customWidth="1"/>
    <col min="13560" max="13560" width="0" style="272" hidden="1" customWidth="1"/>
    <col min="13561" max="13561" width="11.42578125" style="272" customWidth="1"/>
    <col min="13562" max="13565" width="14.7109375" style="272" customWidth="1"/>
    <col min="13566" max="13566" width="16.140625" style="272" customWidth="1"/>
    <col min="13567" max="13567" width="5.7109375" style="272"/>
    <col min="13568" max="13568" width="3.7109375" style="272" customWidth="1"/>
    <col min="13569" max="13569" width="12.7109375" style="272" customWidth="1"/>
    <col min="13570" max="13570" width="1.7109375" style="272" customWidth="1"/>
    <col min="13571" max="13571" width="12.28515625" style="272" customWidth="1"/>
    <col min="13572" max="13572" width="14.7109375" style="272" customWidth="1"/>
    <col min="13573" max="13576" width="7.7109375" style="272" customWidth="1"/>
    <col min="13577" max="13577" width="16.5703125" style="272" customWidth="1"/>
    <col min="13578" max="13578" width="14.7109375" style="272" customWidth="1"/>
    <col min="13579" max="13579" width="3.7109375" style="272" customWidth="1"/>
    <col min="13580" max="13580" width="4.42578125" style="272" customWidth="1"/>
    <col min="13581" max="13581" width="5.5703125" style="272" customWidth="1"/>
    <col min="13582" max="13582" width="6.5703125" style="272" customWidth="1"/>
    <col min="13583" max="13583" width="18.28515625" style="272" customWidth="1"/>
    <col min="13584" max="13592" width="10.7109375" style="272" customWidth="1"/>
    <col min="13593" max="13813" width="14.42578125" style="272" customWidth="1"/>
    <col min="13814" max="13814" width="5.7109375" style="272" customWidth="1"/>
    <col min="13815" max="13815" width="12.7109375" style="272" customWidth="1"/>
    <col min="13816" max="13816" width="0" style="272" hidden="1" customWidth="1"/>
    <col min="13817" max="13817" width="11.42578125" style="272" customWidth="1"/>
    <col min="13818" max="13821" width="14.7109375" style="272" customWidth="1"/>
    <col min="13822" max="13822" width="16.140625" style="272" customWidth="1"/>
    <col min="13823" max="13823" width="5.7109375" style="272"/>
    <col min="13824" max="13824" width="3.7109375" style="272" customWidth="1"/>
    <col min="13825" max="13825" width="12.7109375" style="272" customWidth="1"/>
    <col min="13826" max="13826" width="1.7109375" style="272" customWidth="1"/>
    <col min="13827" max="13827" width="12.28515625" style="272" customWidth="1"/>
    <col min="13828" max="13828" width="14.7109375" style="272" customWidth="1"/>
    <col min="13829" max="13832" width="7.7109375" style="272" customWidth="1"/>
    <col min="13833" max="13833" width="16.5703125" style="272" customWidth="1"/>
    <col min="13834" max="13834" width="14.7109375" style="272" customWidth="1"/>
    <col min="13835" max="13835" width="3.7109375" style="272" customWidth="1"/>
    <col min="13836" max="13836" width="4.42578125" style="272" customWidth="1"/>
    <col min="13837" max="13837" width="5.5703125" style="272" customWidth="1"/>
    <col min="13838" max="13838" width="6.5703125" style="272" customWidth="1"/>
    <col min="13839" max="13839" width="18.28515625" style="272" customWidth="1"/>
    <col min="13840" max="13848" width="10.7109375" style="272" customWidth="1"/>
    <col min="13849" max="14069" width="14.42578125" style="272" customWidth="1"/>
    <col min="14070" max="14070" width="5.7109375" style="272" customWidth="1"/>
    <col min="14071" max="14071" width="12.7109375" style="272" customWidth="1"/>
    <col min="14072" max="14072" width="0" style="272" hidden="1" customWidth="1"/>
    <col min="14073" max="14073" width="11.42578125" style="272" customWidth="1"/>
    <col min="14074" max="14077" width="14.7109375" style="272" customWidth="1"/>
    <col min="14078" max="14078" width="16.140625" style="272" customWidth="1"/>
    <col min="14079" max="14079" width="5.7109375" style="272"/>
    <col min="14080" max="14080" width="3.7109375" style="272" customWidth="1"/>
    <col min="14081" max="14081" width="12.7109375" style="272" customWidth="1"/>
    <col min="14082" max="14082" width="1.7109375" style="272" customWidth="1"/>
    <col min="14083" max="14083" width="12.28515625" style="272" customWidth="1"/>
    <col min="14084" max="14084" width="14.7109375" style="272" customWidth="1"/>
    <col min="14085" max="14088" width="7.7109375" style="272" customWidth="1"/>
    <col min="14089" max="14089" width="16.5703125" style="272" customWidth="1"/>
    <col min="14090" max="14090" width="14.7109375" style="272" customWidth="1"/>
    <col min="14091" max="14091" width="3.7109375" style="272" customWidth="1"/>
    <col min="14092" max="14092" width="4.42578125" style="272" customWidth="1"/>
    <col min="14093" max="14093" width="5.5703125" style="272" customWidth="1"/>
    <col min="14094" max="14094" width="6.5703125" style="272" customWidth="1"/>
    <col min="14095" max="14095" width="18.28515625" style="272" customWidth="1"/>
    <col min="14096" max="14104" width="10.7109375" style="272" customWidth="1"/>
    <col min="14105" max="14325" width="14.42578125" style="272" customWidth="1"/>
    <col min="14326" max="14326" width="5.7109375" style="272" customWidth="1"/>
    <col min="14327" max="14327" width="12.7109375" style="272" customWidth="1"/>
    <col min="14328" max="14328" width="0" style="272" hidden="1" customWidth="1"/>
    <col min="14329" max="14329" width="11.42578125" style="272" customWidth="1"/>
    <col min="14330" max="14333" width="14.7109375" style="272" customWidth="1"/>
    <col min="14334" max="14334" width="16.140625" style="272" customWidth="1"/>
    <col min="14335" max="14335" width="5.7109375" style="272"/>
    <col min="14336" max="14336" width="3.7109375" style="272" customWidth="1"/>
    <col min="14337" max="14337" width="12.7109375" style="272" customWidth="1"/>
    <col min="14338" max="14338" width="1.7109375" style="272" customWidth="1"/>
    <col min="14339" max="14339" width="12.28515625" style="272" customWidth="1"/>
    <col min="14340" max="14340" width="14.7109375" style="272" customWidth="1"/>
    <col min="14341" max="14344" width="7.7109375" style="272" customWidth="1"/>
    <col min="14345" max="14345" width="16.5703125" style="272" customWidth="1"/>
    <col min="14346" max="14346" width="14.7109375" style="272" customWidth="1"/>
    <col min="14347" max="14347" width="3.7109375" style="272" customWidth="1"/>
    <col min="14348" max="14348" width="4.42578125" style="272" customWidth="1"/>
    <col min="14349" max="14349" width="5.5703125" style="272" customWidth="1"/>
    <col min="14350" max="14350" width="6.5703125" style="272" customWidth="1"/>
    <col min="14351" max="14351" width="18.28515625" style="272" customWidth="1"/>
    <col min="14352" max="14360" width="10.7109375" style="272" customWidth="1"/>
    <col min="14361" max="14581" width="14.42578125" style="272" customWidth="1"/>
    <col min="14582" max="14582" width="5.7109375" style="272" customWidth="1"/>
    <col min="14583" max="14583" width="12.7109375" style="272" customWidth="1"/>
    <col min="14584" max="14584" width="0" style="272" hidden="1" customWidth="1"/>
    <col min="14585" max="14585" width="11.42578125" style="272" customWidth="1"/>
    <col min="14586" max="14589" width="14.7109375" style="272" customWidth="1"/>
    <col min="14590" max="14590" width="16.140625" style="272" customWidth="1"/>
    <col min="14591" max="14591" width="5.7109375" style="272"/>
    <col min="14592" max="14592" width="3.7109375" style="272" customWidth="1"/>
    <col min="14593" max="14593" width="12.7109375" style="272" customWidth="1"/>
    <col min="14594" max="14594" width="1.7109375" style="272" customWidth="1"/>
    <col min="14595" max="14595" width="12.28515625" style="272" customWidth="1"/>
    <col min="14596" max="14596" width="14.7109375" style="272" customWidth="1"/>
    <col min="14597" max="14600" width="7.7109375" style="272" customWidth="1"/>
    <col min="14601" max="14601" width="16.5703125" style="272" customWidth="1"/>
    <col min="14602" max="14602" width="14.7109375" style="272" customWidth="1"/>
    <col min="14603" max="14603" width="3.7109375" style="272" customWidth="1"/>
    <col min="14604" max="14604" width="4.42578125" style="272" customWidth="1"/>
    <col min="14605" max="14605" width="5.5703125" style="272" customWidth="1"/>
    <col min="14606" max="14606" width="6.5703125" style="272" customWidth="1"/>
    <col min="14607" max="14607" width="18.28515625" style="272" customWidth="1"/>
    <col min="14608" max="14616" width="10.7109375" style="272" customWidth="1"/>
    <col min="14617" max="14837" width="14.42578125" style="272" customWidth="1"/>
    <col min="14838" max="14838" width="5.7109375" style="272" customWidth="1"/>
    <col min="14839" max="14839" width="12.7109375" style="272" customWidth="1"/>
    <col min="14840" max="14840" width="0" style="272" hidden="1" customWidth="1"/>
    <col min="14841" max="14841" width="11.42578125" style="272" customWidth="1"/>
    <col min="14842" max="14845" width="14.7109375" style="272" customWidth="1"/>
    <col min="14846" max="14846" width="16.140625" style="272" customWidth="1"/>
    <col min="14847" max="14847" width="5.7109375" style="272"/>
    <col min="14848" max="14848" width="3.7109375" style="272" customWidth="1"/>
    <col min="14849" max="14849" width="12.7109375" style="272" customWidth="1"/>
    <col min="14850" max="14850" width="1.7109375" style="272" customWidth="1"/>
    <col min="14851" max="14851" width="12.28515625" style="272" customWidth="1"/>
    <col min="14852" max="14852" width="14.7109375" style="272" customWidth="1"/>
    <col min="14853" max="14856" width="7.7109375" style="272" customWidth="1"/>
    <col min="14857" max="14857" width="16.5703125" style="272" customWidth="1"/>
    <col min="14858" max="14858" width="14.7109375" style="272" customWidth="1"/>
    <col min="14859" max="14859" width="3.7109375" style="272" customWidth="1"/>
    <col min="14860" max="14860" width="4.42578125" style="272" customWidth="1"/>
    <col min="14861" max="14861" width="5.5703125" style="272" customWidth="1"/>
    <col min="14862" max="14862" width="6.5703125" style="272" customWidth="1"/>
    <col min="14863" max="14863" width="18.28515625" style="272" customWidth="1"/>
    <col min="14864" max="14872" width="10.7109375" style="272" customWidth="1"/>
    <col min="14873" max="15093" width="14.42578125" style="272" customWidth="1"/>
    <col min="15094" max="15094" width="5.7109375" style="272" customWidth="1"/>
    <col min="15095" max="15095" width="12.7109375" style="272" customWidth="1"/>
    <col min="15096" max="15096" width="0" style="272" hidden="1" customWidth="1"/>
    <col min="15097" max="15097" width="11.42578125" style="272" customWidth="1"/>
    <col min="15098" max="15101" width="14.7109375" style="272" customWidth="1"/>
    <col min="15102" max="15102" width="16.140625" style="272" customWidth="1"/>
    <col min="15103" max="15103" width="5.7109375" style="272"/>
    <col min="15104" max="15104" width="3.7109375" style="272" customWidth="1"/>
    <col min="15105" max="15105" width="12.7109375" style="272" customWidth="1"/>
    <col min="15106" max="15106" width="1.7109375" style="272" customWidth="1"/>
    <col min="15107" max="15107" width="12.28515625" style="272" customWidth="1"/>
    <col min="15108" max="15108" width="14.7109375" style="272" customWidth="1"/>
    <col min="15109" max="15112" width="7.7109375" style="272" customWidth="1"/>
    <col min="15113" max="15113" width="16.5703125" style="272" customWidth="1"/>
    <col min="15114" max="15114" width="14.7109375" style="272" customWidth="1"/>
    <col min="15115" max="15115" width="3.7109375" style="272" customWidth="1"/>
    <col min="15116" max="15116" width="4.42578125" style="272" customWidth="1"/>
    <col min="15117" max="15117" width="5.5703125" style="272" customWidth="1"/>
    <col min="15118" max="15118" width="6.5703125" style="272" customWidth="1"/>
    <col min="15119" max="15119" width="18.28515625" style="272" customWidth="1"/>
    <col min="15120" max="15128" width="10.7109375" style="272" customWidth="1"/>
    <col min="15129" max="15349" width="14.42578125" style="272" customWidth="1"/>
    <col min="15350" max="15350" width="5.7109375" style="272" customWidth="1"/>
    <col min="15351" max="15351" width="12.7109375" style="272" customWidth="1"/>
    <col min="15352" max="15352" width="0" style="272" hidden="1" customWidth="1"/>
    <col min="15353" max="15353" width="11.42578125" style="272" customWidth="1"/>
    <col min="15354" max="15357" width="14.7109375" style="272" customWidth="1"/>
    <col min="15358" max="15358" width="16.140625" style="272" customWidth="1"/>
    <col min="15359" max="15359" width="5.7109375" style="272"/>
    <col min="15360" max="15360" width="3.7109375" style="272" customWidth="1"/>
    <col min="15361" max="15361" width="12.7109375" style="272" customWidth="1"/>
    <col min="15362" max="15362" width="1.7109375" style="272" customWidth="1"/>
    <col min="15363" max="15363" width="12.28515625" style="272" customWidth="1"/>
    <col min="15364" max="15364" width="14.7109375" style="272" customWidth="1"/>
    <col min="15365" max="15368" width="7.7109375" style="272" customWidth="1"/>
    <col min="15369" max="15369" width="16.5703125" style="272" customWidth="1"/>
    <col min="15370" max="15370" width="14.7109375" style="272" customWidth="1"/>
    <col min="15371" max="15371" width="3.7109375" style="272" customWidth="1"/>
    <col min="15372" max="15372" width="4.42578125" style="272" customWidth="1"/>
    <col min="15373" max="15373" width="5.5703125" style="272" customWidth="1"/>
    <col min="15374" max="15374" width="6.5703125" style="272" customWidth="1"/>
    <col min="15375" max="15375" width="18.28515625" style="272" customWidth="1"/>
    <col min="15376" max="15384" width="10.7109375" style="272" customWidth="1"/>
    <col min="15385" max="15605" width="14.42578125" style="272" customWidth="1"/>
    <col min="15606" max="15606" width="5.7109375" style="272" customWidth="1"/>
    <col min="15607" max="15607" width="12.7109375" style="272" customWidth="1"/>
    <col min="15608" max="15608" width="0" style="272" hidden="1" customWidth="1"/>
    <col min="15609" max="15609" width="11.42578125" style="272" customWidth="1"/>
    <col min="15610" max="15613" width="14.7109375" style="272" customWidth="1"/>
    <col min="15614" max="15614" width="16.140625" style="272" customWidth="1"/>
    <col min="15615" max="15615" width="5.7109375" style="272"/>
    <col min="15616" max="15616" width="3.7109375" style="272" customWidth="1"/>
    <col min="15617" max="15617" width="12.7109375" style="272" customWidth="1"/>
    <col min="15618" max="15618" width="1.7109375" style="272" customWidth="1"/>
    <col min="15619" max="15619" width="12.28515625" style="272" customWidth="1"/>
    <col min="15620" max="15620" width="14.7109375" style="272" customWidth="1"/>
    <col min="15621" max="15624" width="7.7109375" style="272" customWidth="1"/>
    <col min="15625" max="15625" width="16.5703125" style="272" customWidth="1"/>
    <col min="15626" max="15626" width="14.7109375" style="272" customWidth="1"/>
    <col min="15627" max="15627" width="3.7109375" style="272" customWidth="1"/>
    <col min="15628" max="15628" width="4.42578125" style="272" customWidth="1"/>
    <col min="15629" max="15629" width="5.5703125" style="272" customWidth="1"/>
    <col min="15630" max="15630" width="6.5703125" style="272" customWidth="1"/>
    <col min="15631" max="15631" width="18.28515625" style="272" customWidth="1"/>
    <col min="15632" max="15640" width="10.7109375" style="272" customWidth="1"/>
    <col min="15641" max="15861" width="14.42578125" style="272" customWidth="1"/>
    <col min="15862" max="15862" width="5.7109375" style="272" customWidth="1"/>
    <col min="15863" max="15863" width="12.7109375" style="272" customWidth="1"/>
    <col min="15864" max="15864" width="0" style="272" hidden="1" customWidth="1"/>
    <col min="15865" max="15865" width="11.42578125" style="272" customWidth="1"/>
    <col min="15866" max="15869" width="14.7109375" style="272" customWidth="1"/>
    <col min="15870" max="15870" width="16.140625" style="272" customWidth="1"/>
    <col min="15871" max="15871" width="5.7109375" style="272"/>
    <col min="15872" max="15872" width="3.7109375" style="272" customWidth="1"/>
    <col min="15873" max="15873" width="12.7109375" style="272" customWidth="1"/>
    <col min="15874" max="15874" width="1.7109375" style="272" customWidth="1"/>
    <col min="15875" max="15875" width="12.28515625" style="272" customWidth="1"/>
    <col min="15876" max="15876" width="14.7109375" style="272" customWidth="1"/>
    <col min="15877" max="15880" width="7.7109375" style="272" customWidth="1"/>
    <col min="15881" max="15881" width="16.5703125" style="272" customWidth="1"/>
    <col min="15882" max="15882" width="14.7109375" style="272" customWidth="1"/>
    <col min="15883" max="15883" width="3.7109375" style="272" customWidth="1"/>
    <col min="15884" max="15884" width="4.42578125" style="272" customWidth="1"/>
    <col min="15885" max="15885" width="5.5703125" style="272" customWidth="1"/>
    <col min="15886" max="15886" width="6.5703125" style="272" customWidth="1"/>
    <col min="15887" max="15887" width="18.28515625" style="272" customWidth="1"/>
    <col min="15888" max="15896" width="10.7109375" style="272" customWidth="1"/>
    <col min="15897" max="16117" width="14.42578125" style="272" customWidth="1"/>
    <col min="16118" max="16118" width="5.7109375" style="272" customWidth="1"/>
    <col min="16119" max="16119" width="12.7109375" style="272" customWidth="1"/>
    <col min="16120" max="16120" width="0" style="272" hidden="1" customWidth="1"/>
    <col min="16121" max="16121" width="11.42578125" style="272" customWidth="1"/>
    <col min="16122" max="16125" width="14.7109375" style="272" customWidth="1"/>
    <col min="16126" max="16126" width="16.140625" style="272" customWidth="1"/>
    <col min="16127" max="16127" width="5.7109375" style="272"/>
    <col min="16128" max="16128" width="3.7109375" style="272" customWidth="1"/>
    <col min="16129" max="16129" width="12.7109375" style="272" customWidth="1"/>
    <col min="16130" max="16130" width="1.7109375" style="272" customWidth="1"/>
    <col min="16131" max="16131" width="12.28515625" style="272" customWidth="1"/>
    <col min="16132" max="16132" width="14.7109375" style="272" customWidth="1"/>
    <col min="16133" max="16136" width="7.7109375" style="272" customWidth="1"/>
    <col min="16137" max="16137" width="16.5703125" style="272" customWidth="1"/>
    <col min="16138" max="16138" width="14.7109375" style="272" customWidth="1"/>
    <col min="16139" max="16139" width="3.7109375" style="272" customWidth="1"/>
    <col min="16140" max="16140" width="4.42578125" style="272" customWidth="1"/>
    <col min="16141" max="16141" width="5.5703125" style="272" customWidth="1"/>
    <col min="16142" max="16142" width="6.5703125" style="272" customWidth="1"/>
    <col min="16143" max="16143" width="18.28515625" style="272" customWidth="1"/>
    <col min="16144" max="16152" width="10.7109375" style="272" customWidth="1"/>
    <col min="16153" max="16373" width="14.42578125" style="272" customWidth="1"/>
    <col min="16374" max="16374" width="5.7109375" style="272" customWidth="1"/>
    <col min="16375" max="16375" width="12.7109375" style="272" customWidth="1"/>
    <col min="16376" max="16376" width="0" style="272" hidden="1" customWidth="1"/>
    <col min="16377" max="16377" width="11.42578125" style="272" customWidth="1"/>
    <col min="16378" max="16381" width="14.7109375" style="272" customWidth="1"/>
    <col min="16382" max="16382" width="16.140625" style="272" customWidth="1"/>
    <col min="16383" max="16384" width="5.7109375" style="272"/>
  </cols>
  <sheetData>
    <row r="1" spans="1:22" s="268" customFormat="1" ht="15" customHeight="1">
      <c r="A1" s="2947"/>
      <c r="B1" s="2948"/>
      <c r="C1" s="2379" t="s">
        <v>163</v>
      </c>
      <c r="D1" s="2380"/>
      <c r="E1" s="2380"/>
      <c r="F1" s="2380"/>
      <c r="G1" s="2380"/>
      <c r="H1" s="2380"/>
      <c r="I1" s="2380"/>
      <c r="J1" s="2380"/>
      <c r="K1" s="2381"/>
      <c r="L1" s="656"/>
      <c r="M1" s="657"/>
      <c r="N1" s="657"/>
      <c r="O1" s="657"/>
      <c r="P1" s="657"/>
      <c r="Q1" s="657"/>
      <c r="R1" s="657"/>
      <c r="S1" s="657"/>
      <c r="T1" s="657"/>
      <c r="U1" s="656"/>
      <c r="V1" s="659"/>
    </row>
    <row r="2" spans="1:22" s="268" customFormat="1" ht="15" customHeight="1">
      <c r="A2" s="2949"/>
      <c r="B2" s="2950"/>
      <c r="C2" s="2382" t="s">
        <v>311</v>
      </c>
      <c r="D2" s="2383"/>
      <c r="E2" s="2383"/>
      <c r="F2" s="2383"/>
      <c r="G2" s="2383"/>
      <c r="H2" s="2383"/>
      <c r="I2" s="2383"/>
      <c r="J2" s="2383"/>
      <c r="K2" s="2384"/>
      <c r="L2" s="656"/>
      <c r="M2" s="657"/>
      <c r="N2" s="657"/>
      <c r="O2" s="657"/>
      <c r="P2" s="657"/>
      <c r="Q2" s="657"/>
      <c r="R2" s="657"/>
      <c r="S2" s="657"/>
      <c r="T2" s="657"/>
      <c r="U2" s="656"/>
      <c r="V2" s="659"/>
    </row>
    <row r="3" spans="1:22" s="269" customFormat="1" ht="15" customHeight="1">
      <c r="A3" s="2949"/>
      <c r="B3" s="2950"/>
      <c r="C3" s="2382" t="s">
        <v>312</v>
      </c>
      <c r="D3" s="2383"/>
      <c r="E3" s="2383"/>
      <c r="F3" s="2383"/>
      <c r="G3" s="2383"/>
      <c r="H3" s="2383"/>
      <c r="I3" s="2383"/>
      <c r="J3" s="2383"/>
      <c r="K3" s="2384"/>
      <c r="L3" s="656"/>
      <c r="M3" s="657"/>
      <c r="N3" s="657"/>
      <c r="O3" s="658" t="s">
        <v>289</v>
      </c>
      <c r="P3" s="658"/>
      <c r="Q3" s="657"/>
      <c r="R3" s="3912" t="s">
        <v>348</v>
      </c>
      <c r="S3" s="3912"/>
      <c r="T3" s="3912"/>
      <c r="U3" s="3906" t="s">
        <v>143</v>
      </c>
      <c r="V3" s="660"/>
    </row>
    <row r="4" spans="1:22" s="266" customFormat="1" ht="12.95" customHeight="1">
      <c r="A4" s="2949"/>
      <c r="B4" s="2950"/>
      <c r="C4" s="2388" t="s">
        <v>313</v>
      </c>
      <c r="D4" s="2389"/>
      <c r="E4" s="2389"/>
      <c r="F4" s="2389"/>
      <c r="G4" s="2390"/>
      <c r="H4" s="2388" t="s">
        <v>578</v>
      </c>
      <c r="I4" s="2389"/>
      <c r="J4" s="2389"/>
      <c r="K4" s="2390"/>
      <c r="L4" s="656"/>
      <c r="M4" s="657"/>
      <c r="N4" s="657"/>
      <c r="O4" s="657"/>
      <c r="P4" s="657"/>
      <c r="Q4" s="657"/>
      <c r="R4" s="3913"/>
      <c r="S4" s="3913"/>
      <c r="T4" s="3913"/>
      <c r="U4" s="3907"/>
      <c r="V4" s="656"/>
    </row>
    <row r="5" spans="1:22" s="266" customFormat="1" ht="12.95" customHeight="1">
      <c r="A5" s="2951"/>
      <c r="B5" s="2952"/>
      <c r="C5" s="3843" t="s">
        <v>638</v>
      </c>
      <c r="D5" s="3844"/>
      <c r="E5" s="3844"/>
      <c r="F5" s="3844"/>
      <c r="G5" s="3844"/>
      <c r="H5" s="3844"/>
      <c r="I5" s="3844"/>
      <c r="J5" s="3844"/>
      <c r="K5" s="3845"/>
      <c r="L5" s="656"/>
      <c r="M5" s="3909" t="s">
        <v>290</v>
      </c>
      <c r="N5" s="3909"/>
      <c r="O5" s="3909"/>
      <c r="P5" s="270" t="s">
        <v>291</v>
      </c>
      <c r="Q5" s="3910" t="s">
        <v>292</v>
      </c>
      <c r="R5" s="3911"/>
      <c r="S5" s="270" t="s">
        <v>291</v>
      </c>
      <c r="T5" s="271"/>
    </row>
    <row r="6" spans="1:22" s="266" customFormat="1" ht="14.1" customHeight="1">
      <c r="A6" s="958" t="s">
        <v>5</v>
      </c>
      <c r="B6" s="3842" t="str">
        <f>IF('Gradacion '!E6="","",+'Gradacion '!E6)</f>
        <v/>
      </c>
      <c r="C6" s="3842"/>
      <c r="D6" s="3842"/>
      <c r="E6" s="3842"/>
      <c r="F6" s="3842"/>
      <c r="G6" s="3842"/>
      <c r="H6" s="3574" t="s">
        <v>324</v>
      </c>
      <c r="I6" s="3574"/>
      <c r="J6" s="3572"/>
      <c r="K6" s="3848"/>
      <c r="L6" s="656"/>
      <c r="M6" s="3883" t="s">
        <v>501</v>
      </c>
      <c r="N6" s="3883"/>
      <c r="O6" s="3883"/>
      <c r="P6" s="509"/>
      <c r="Q6" s="3903" t="s">
        <v>293</v>
      </c>
      <c r="R6" s="3904"/>
      <c r="S6" s="69"/>
      <c r="T6" s="3908"/>
    </row>
    <row r="7" spans="1:22" ht="14.1" customHeight="1">
      <c r="A7" s="956" t="s">
        <v>39</v>
      </c>
      <c r="B7" s="2398" t="str">
        <f>IF('Gradacion '!E7="","",+'Gradacion '!E7)</f>
        <v/>
      </c>
      <c r="C7" s="2398"/>
      <c r="D7" s="2398"/>
      <c r="E7" s="3846" t="s">
        <v>18</v>
      </c>
      <c r="F7" s="3846"/>
      <c r="G7" s="949" t="str">
        <f>IF('Gradacion '!O7="","",'Gradacion '!O7)</f>
        <v/>
      </c>
      <c r="H7" s="950" t="s">
        <v>40</v>
      </c>
      <c r="I7" s="950"/>
      <c r="J7" s="3849" t="str">
        <f>IF('Gradacion '!AB7="","",+'Gradacion '!AB7)</f>
        <v/>
      </c>
      <c r="K7" s="3850"/>
      <c r="L7" s="656"/>
      <c r="M7" s="3883" t="s">
        <v>502</v>
      </c>
      <c r="N7" s="3883"/>
      <c r="O7" s="3883"/>
      <c r="P7" s="508" t="str">
        <f>+IF(P6="","",P6*70%)</f>
        <v/>
      </c>
      <c r="Q7" s="3903" t="s">
        <v>294</v>
      </c>
      <c r="R7" s="3904"/>
      <c r="S7" s="69"/>
      <c r="T7" s="3908"/>
      <c r="U7" s="266"/>
    </row>
    <row r="8" spans="1:22" ht="14.1" customHeight="1">
      <c r="A8" s="956" t="s">
        <v>465</v>
      </c>
      <c r="B8" s="2398" t="str">
        <f>IF('Gradacion '!E8="","",+'Gradacion '!E8)</f>
        <v/>
      </c>
      <c r="C8" s="2398"/>
      <c r="D8" s="2398"/>
      <c r="E8" s="3851" t="s">
        <v>19</v>
      </c>
      <c r="F8" s="3851"/>
      <c r="G8" s="949" t="str">
        <f>IF('Gradacion '!O8="","",'Gradacion '!O8)</f>
        <v/>
      </c>
      <c r="H8" s="2894" t="s">
        <v>407</v>
      </c>
      <c r="I8" s="2894"/>
      <c r="J8" s="3871" t="str">
        <f>IF('Gradacion '!AB8="","",+'Gradacion '!AB8)</f>
        <v/>
      </c>
      <c r="K8" s="3872"/>
      <c r="L8" s="656"/>
      <c r="M8" s="3883" t="s">
        <v>503</v>
      </c>
      <c r="N8" s="3883"/>
      <c r="O8" s="3883"/>
      <c r="P8" s="508" t="str">
        <f>+IF(P6="","",P6-P7)</f>
        <v/>
      </c>
      <c r="Q8" s="3901"/>
      <c r="R8" s="3902"/>
      <c r="S8" s="273"/>
      <c r="T8" s="274"/>
      <c r="U8" s="266"/>
    </row>
    <row r="9" spans="1:22" ht="14.1" customHeight="1">
      <c r="A9" s="957" t="s">
        <v>6</v>
      </c>
      <c r="B9" s="3847" t="str">
        <f>IF('Gradacion '!E9="","",+'Gradacion '!E9)</f>
        <v/>
      </c>
      <c r="C9" s="3847"/>
      <c r="D9" s="3847"/>
      <c r="E9" s="3847"/>
      <c r="F9" s="3847"/>
      <c r="G9" s="3847"/>
      <c r="H9" s="960" t="s">
        <v>633</v>
      </c>
      <c r="I9" s="961"/>
      <c r="J9" s="3849" t="str">
        <f>IF('Gradacion '!AB9="","",+'Gradacion '!AB9)</f>
        <v/>
      </c>
      <c r="K9" s="3850"/>
      <c r="L9" s="656"/>
      <c r="M9" s="3883" t="s">
        <v>504</v>
      </c>
      <c r="N9" s="3883"/>
      <c r="O9" s="3883"/>
      <c r="P9" s="508" t="str">
        <f>+IF(P7="","",P7/(1+(P12/100)))</f>
        <v/>
      </c>
      <c r="Q9" s="661"/>
      <c r="R9" s="661"/>
      <c r="S9" s="275"/>
      <c r="T9" s="275"/>
      <c r="U9" s="266"/>
    </row>
    <row r="10" spans="1:22" ht="15" customHeight="1">
      <c r="A10" s="908"/>
      <c r="B10" s="909"/>
      <c r="C10" s="910"/>
      <c r="D10" s="911"/>
      <c r="E10" s="911"/>
      <c r="F10" s="911"/>
      <c r="G10" s="911"/>
      <c r="H10" s="912"/>
      <c r="I10" s="912"/>
      <c r="J10" s="912"/>
      <c r="K10" s="628"/>
      <c r="L10" s="656"/>
      <c r="M10" s="364"/>
      <c r="N10" s="364"/>
      <c r="O10" s="364"/>
      <c r="P10" s="364"/>
      <c r="Q10" s="364"/>
      <c r="R10" s="364"/>
      <c r="S10" s="276"/>
      <c r="T10" s="276"/>
      <c r="U10" s="266"/>
    </row>
    <row r="11" spans="1:22" ht="15" customHeight="1">
      <c r="A11" s="913"/>
      <c r="B11" s="3878"/>
      <c r="C11" s="3878"/>
      <c r="D11" s="3878"/>
      <c r="E11" s="3878"/>
      <c r="F11" s="3878"/>
      <c r="G11" s="3878"/>
      <c r="H11" s="914"/>
      <c r="I11" s="3879"/>
      <c r="J11" s="3879"/>
      <c r="K11" s="630"/>
      <c r="L11" s="656"/>
      <c r="M11" s="3875" t="s">
        <v>295</v>
      </c>
      <c r="N11" s="3876"/>
      <c r="O11" s="3877"/>
      <c r="P11" s="362" t="str">
        <f>+IF(P6="","",((P6-P8)/P8)*100)</f>
        <v/>
      </c>
      <c r="Q11" s="363"/>
      <c r="R11" s="364"/>
      <c r="S11" s="365"/>
      <c r="T11" s="364"/>
      <c r="U11" s="266"/>
    </row>
    <row r="12" spans="1:22" ht="15" customHeight="1">
      <c r="A12" s="913"/>
      <c r="B12" s="915"/>
      <c r="C12" s="915"/>
      <c r="D12" s="915"/>
      <c r="E12" s="915"/>
      <c r="F12" s="915"/>
      <c r="G12" s="915"/>
      <c r="H12" s="915"/>
      <c r="I12" s="916"/>
      <c r="J12" s="916"/>
      <c r="K12" s="630"/>
      <c r="L12" s="656"/>
      <c r="M12" s="3875" t="s">
        <v>296</v>
      </c>
      <c r="N12" s="3876"/>
      <c r="O12" s="3877"/>
      <c r="P12" s="362" t="str">
        <f>+IF(S6="","",((S6-S7)/S7)*100)</f>
        <v/>
      </c>
      <c r="Q12" s="364"/>
      <c r="R12" s="364"/>
      <c r="S12" s="364"/>
      <c r="T12" s="364"/>
      <c r="U12" s="266"/>
    </row>
    <row r="13" spans="1:22" ht="15" customHeight="1">
      <c r="A13" s="913"/>
      <c r="B13" s="917"/>
      <c r="C13" s="917"/>
      <c r="D13" s="917"/>
      <c r="E13" s="917"/>
      <c r="F13" s="917"/>
      <c r="G13" s="917"/>
      <c r="H13" s="917"/>
      <c r="I13" s="917"/>
      <c r="J13" s="917"/>
      <c r="K13" s="631"/>
      <c r="L13" s="656"/>
      <c r="M13" s="3875" t="s">
        <v>505</v>
      </c>
      <c r="N13" s="3876"/>
      <c r="O13" s="3877"/>
      <c r="P13" s="513" t="str">
        <f>IF(P24="","",P24*9.8066)</f>
        <v/>
      </c>
      <c r="Q13" s="513" t="str">
        <f t="shared" ref="Q13:T13" si="0">IF(Q24="","",Q24*9.8066)</f>
        <v/>
      </c>
      <c r="R13" s="513" t="str">
        <f t="shared" si="0"/>
        <v/>
      </c>
      <c r="S13" s="513" t="str">
        <f t="shared" si="0"/>
        <v/>
      </c>
      <c r="T13" s="513" t="str">
        <f t="shared" si="0"/>
        <v/>
      </c>
      <c r="U13" s="266"/>
    </row>
    <row r="14" spans="1:22" ht="15" customHeight="1">
      <c r="A14" s="913"/>
      <c r="B14" s="917"/>
      <c r="C14" s="917"/>
      <c r="D14" s="917"/>
      <c r="E14" s="917"/>
      <c r="F14" s="917"/>
      <c r="G14" s="917"/>
      <c r="H14" s="917"/>
      <c r="I14" s="917"/>
      <c r="J14" s="917"/>
      <c r="K14" s="631"/>
      <c r="L14" s="656"/>
      <c r="M14" s="3905" t="s">
        <v>297</v>
      </c>
      <c r="N14" s="3905"/>
      <c r="O14" s="3905"/>
      <c r="P14" s="447">
        <v>1</v>
      </c>
      <c r="Q14" s="447">
        <v>2</v>
      </c>
      <c r="R14" s="447">
        <v>3</v>
      </c>
      <c r="S14" s="447">
        <v>4</v>
      </c>
      <c r="T14" s="447">
        <v>5</v>
      </c>
      <c r="U14" s="266"/>
    </row>
    <row r="15" spans="1:22" ht="15" customHeight="1">
      <c r="A15" s="918"/>
      <c r="F15" s="919"/>
      <c r="G15" s="919"/>
      <c r="H15" s="919"/>
      <c r="I15" s="919"/>
      <c r="J15" s="919"/>
      <c r="K15" s="633"/>
      <c r="L15" s="656"/>
      <c r="M15" s="3883" t="s">
        <v>506</v>
      </c>
      <c r="N15" s="3883"/>
      <c r="O15" s="3883"/>
      <c r="P15" s="512"/>
      <c r="Q15" s="512"/>
      <c r="R15" s="512"/>
      <c r="S15" s="512"/>
      <c r="T15" s="512"/>
      <c r="U15" s="266"/>
    </row>
    <row r="16" spans="1:22" ht="15" customHeight="1">
      <c r="A16" s="913"/>
      <c r="F16" s="917"/>
      <c r="G16" s="917"/>
      <c r="H16" s="917"/>
      <c r="I16" s="917"/>
      <c r="J16" s="917"/>
      <c r="K16" s="631"/>
      <c r="L16" s="656"/>
      <c r="M16" s="549" t="s">
        <v>507</v>
      </c>
      <c r="N16" s="549"/>
      <c r="O16" s="549"/>
      <c r="P16" s="512"/>
      <c r="Q16" s="511" t="str">
        <f>+IF(P16="","",P16)</f>
        <v/>
      </c>
      <c r="R16" s="511" t="str">
        <f>+IF(P16="","",P16)</f>
        <v/>
      </c>
      <c r="S16" s="511" t="str">
        <f>+IF(P16="","",P16)</f>
        <v/>
      </c>
      <c r="T16" s="511" t="str">
        <f>+IF(P16="","",P16)</f>
        <v/>
      </c>
      <c r="U16" s="266"/>
    </row>
    <row r="17" spans="1:24" ht="15" customHeight="1">
      <c r="A17" s="918"/>
      <c r="F17" s="919"/>
      <c r="G17" s="919"/>
      <c r="H17" s="919"/>
      <c r="I17" s="919"/>
      <c r="J17" s="919"/>
      <c r="K17" s="633"/>
      <c r="L17" s="656"/>
      <c r="M17" s="3883" t="s">
        <v>508</v>
      </c>
      <c r="N17" s="3883"/>
      <c r="O17" s="3883"/>
      <c r="P17" s="512"/>
      <c r="Q17" s="511" t="str">
        <f>+IF(P17="","",P17)</f>
        <v/>
      </c>
      <c r="R17" s="511" t="str">
        <f>+IF(P17="","",P17)</f>
        <v/>
      </c>
      <c r="S17" s="511" t="str">
        <f>+IF(P17="","",P17)</f>
        <v/>
      </c>
      <c r="T17" s="511" t="str">
        <f>+IF(P17="","",P17)</f>
        <v/>
      </c>
      <c r="U17" s="266"/>
    </row>
    <row r="18" spans="1:24" ht="15" customHeight="1">
      <c r="A18" s="913"/>
      <c r="F18" s="917"/>
      <c r="G18" s="917"/>
      <c r="H18" s="917"/>
      <c r="I18" s="917"/>
      <c r="J18" s="917"/>
      <c r="K18" s="631"/>
      <c r="L18" s="656"/>
      <c r="M18" s="3884" t="s">
        <v>298</v>
      </c>
      <c r="N18" s="3885"/>
      <c r="O18" s="3886"/>
      <c r="P18" s="512"/>
      <c r="Q18" s="512"/>
      <c r="R18" s="512"/>
      <c r="S18" s="512"/>
      <c r="T18" s="512"/>
      <c r="U18" s="266"/>
    </row>
    <row r="19" spans="1:24" ht="15" customHeight="1">
      <c r="A19" s="918"/>
      <c r="F19" s="919"/>
      <c r="G19" s="919"/>
      <c r="H19" s="919"/>
      <c r="I19" s="919"/>
      <c r="J19" s="919"/>
      <c r="K19" s="633"/>
      <c r="L19" s="656"/>
      <c r="M19" s="3884" t="s">
        <v>299</v>
      </c>
      <c r="N19" s="3885"/>
      <c r="O19" s="3886"/>
      <c r="P19" s="512"/>
      <c r="Q19" s="512"/>
      <c r="R19" s="512"/>
      <c r="S19" s="512"/>
      <c r="T19" s="512"/>
      <c r="U19" s="266"/>
    </row>
    <row r="20" spans="1:24" ht="15" customHeight="1">
      <c r="A20" s="913"/>
      <c r="F20" s="917"/>
      <c r="G20" s="917"/>
      <c r="H20" s="917"/>
      <c r="I20" s="917"/>
      <c r="J20" s="917"/>
      <c r="K20" s="631"/>
      <c r="L20" s="656"/>
      <c r="M20" s="3875" t="s">
        <v>300</v>
      </c>
      <c r="N20" s="3876"/>
      <c r="O20" s="3877"/>
      <c r="P20" s="512"/>
      <c r="Q20" s="512"/>
      <c r="R20" s="512"/>
      <c r="S20" s="512"/>
      <c r="T20" s="512"/>
      <c r="U20" s="266"/>
    </row>
    <row r="21" spans="1:24" ht="15" customHeight="1">
      <c r="A21" s="918"/>
      <c r="F21" s="919"/>
      <c r="G21" s="919"/>
      <c r="H21" s="919"/>
      <c r="I21" s="919"/>
      <c r="J21" s="919"/>
      <c r="K21" s="633"/>
      <c r="L21" s="656"/>
      <c r="M21" s="3875" t="s">
        <v>301</v>
      </c>
      <c r="N21" s="3876"/>
      <c r="O21" s="3877"/>
      <c r="P21" s="511" t="str">
        <f>IF(AND(P18="",P19="",P20=""),"",((P19-P20)/(P20-P18))*100)</f>
        <v/>
      </c>
      <c r="Q21" s="511" t="str">
        <f t="shared" ref="Q21:T21" si="1">IF(AND(Q18="",Q19="",Q20=""),"",((Q19-Q20)/(Q20-Q18))*100)</f>
        <v/>
      </c>
      <c r="R21" s="511" t="str">
        <f t="shared" si="1"/>
        <v/>
      </c>
      <c r="S21" s="511" t="str">
        <f t="shared" si="1"/>
        <v/>
      </c>
      <c r="T21" s="511" t="str">
        <f t="shared" si="1"/>
        <v/>
      </c>
      <c r="U21" s="266"/>
    </row>
    <row r="22" spans="1:24" ht="15" customHeight="1">
      <c r="A22" s="913"/>
      <c r="F22" s="917"/>
      <c r="G22" s="917"/>
      <c r="H22" s="917"/>
      <c r="I22" s="917"/>
      <c r="J22" s="917"/>
      <c r="K22" s="631"/>
      <c r="L22" s="266"/>
      <c r="M22" s="3880" t="s">
        <v>302</v>
      </c>
      <c r="N22" s="3881"/>
      <c r="O22" s="3881"/>
      <c r="P22" s="3881"/>
      <c r="Q22" s="3881"/>
      <c r="R22" s="3881"/>
      <c r="S22" s="3881"/>
      <c r="T22" s="3882"/>
      <c r="U22" s="266"/>
    </row>
    <row r="23" spans="1:24" ht="15" customHeight="1">
      <c r="A23" s="918"/>
      <c r="F23" s="919"/>
      <c r="G23" s="919"/>
      <c r="H23" s="919"/>
      <c r="I23" s="919"/>
      <c r="J23" s="919"/>
      <c r="K23" s="633"/>
      <c r="L23" s="266"/>
      <c r="M23" s="3883" t="s">
        <v>509</v>
      </c>
      <c r="N23" s="3883"/>
      <c r="O23" s="3883"/>
      <c r="P23" s="510" t="str">
        <f>+IF(P15="","",(P15-P17)/P16)</f>
        <v/>
      </c>
      <c r="Q23" s="510" t="str">
        <f>+IF(Q15="","",(Q15-Q17)/Q16)</f>
        <v/>
      </c>
      <c r="R23" s="510" t="str">
        <f>+IF(R15="","",(R15-R17)/R16)</f>
        <v/>
      </c>
      <c r="S23" s="510" t="str">
        <f>+IF(S15="","",(S15-S17)/S16)</f>
        <v/>
      </c>
      <c r="T23" s="510" t="str">
        <f>IF(T15="","",(T15-T17)/T16)</f>
        <v/>
      </c>
      <c r="U23" s="266"/>
    </row>
    <row r="24" spans="1:24" ht="15" customHeight="1">
      <c r="A24" s="913"/>
      <c r="F24" s="917"/>
      <c r="G24" s="917"/>
      <c r="H24" s="917"/>
      <c r="I24" s="917"/>
      <c r="J24" s="917"/>
      <c r="K24" s="631"/>
      <c r="L24" s="266"/>
      <c r="M24" s="3875" t="s">
        <v>510</v>
      </c>
      <c r="N24" s="3876"/>
      <c r="O24" s="3877"/>
      <c r="P24" s="510" t="str">
        <f>IF(P21="","",(P23/(1+(P21/100))))</f>
        <v/>
      </c>
      <c r="Q24" s="510" t="str">
        <f t="shared" ref="Q24:T24" si="2">IF(Q21="","",(Q23/(1+(Q21/100))))</f>
        <v/>
      </c>
      <c r="R24" s="510" t="str">
        <f t="shared" si="2"/>
        <v/>
      </c>
      <c r="S24" s="510" t="str">
        <f t="shared" si="2"/>
        <v/>
      </c>
      <c r="T24" s="510" t="str">
        <f t="shared" si="2"/>
        <v/>
      </c>
      <c r="U24" s="266"/>
    </row>
    <row r="25" spans="1:24" s="277" customFormat="1" ht="15" customHeight="1">
      <c r="A25" s="918"/>
      <c r="F25" s="919"/>
      <c r="G25" s="919"/>
      <c r="H25" s="919"/>
      <c r="I25" s="919"/>
      <c r="J25" s="919"/>
      <c r="K25" s="633"/>
      <c r="L25" s="266"/>
      <c r="M25" s="3875" t="s">
        <v>511</v>
      </c>
      <c r="N25" s="3876"/>
      <c r="O25" s="3877"/>
      <c r="P25" s="513" t="str">
        <f>IF(P23="","",P23*9.8066)</f>
        <v/>
      </c>
      <c r="Q25" s="513" t="str">
        <f>IF(Q23="","",Q23*9.8066)</f>
        <v/>
      </c>
      <c r="R25" s="513" t="str">
        <f>IF(R23="","",R23*9.8066)</f>
        <v/>
      </c>
      <c r="S25" s="513" t="str">
        <f>IF(S23="","",S23*9.8066)</f>
        <v/>
      </c>
      <c r="T25" s="513" t="str">
        <f>IF(T23="","",T23*9.8066)</f>
        <v/>
      </c>
      <c r="U25" s="266"/>
    </row>
    <row r="26" spans="1:24" ht="15" customHeight="1">
      <c r="A26" s="913"/>
      <c r="B26" s="920"/>
      <c r="C26" s="920"/>
      <c r="D26" s="920"/>
      <c r="E26" s="921"/>
      <c r="F26" s="917"/>
      <c r="G26" s="917"/>
      <c r="H26" s="917"/>
      <c r="I26" s="917"/>
      <c r="J26" s="917"/>
      <c r="K26" s="631"/>
      <c r="L26" s="266"/>
      <c r="M26" s="662"/>
      <c r="N26" s="662"/>
      <c r="O26" s="662"/>
      <c r="P26" s="662"/>
      <c r="Q26" s="662"/>
      <c r="R26" s="662"/>
      <c r="S26" s="662"/>
      <c r="T26" s="662"/>
      <c r="U26" s="266"/>
    </row>
    <row r="27" spans="1:24" s="277" customFormat="1" ht="24.95" customHeight="1">
      <c r="A27" s="632"/>
      <c r="B27" s="3855" t="s">
        <v>303</v>
      </c>
      <c r="C27" s="3856"/>
      <c r="D27" s="3856"/>
      <c r="E27" s="17" t="s">
        <v>55</v>
      </c>
      <c r="F27" s="635"/>
      <c r="G27" s="3857" t="s">
        <v>307</v>
      </c>
      <c r="H27" s="3858"/>
      <c r="I27" s="3858"/>
      <c r="J27" s="17"/>
      <c r="K27" s="636"/>
      <c r="L27" s="266"/>
      <c r="M27" s="662"/>
      <c r="N27" s="662"/>
      <c r="O27" s="662"/>
      <c r="P27" s="662"/>
      <c r="Q27" s="662"/>
      <c r="R27" s="662"/>
      <c r="S27" s="662"/>
      <c r="T27" s="662"/>
      <c r="U27" s="266"/>
    </row>
    <row r="28" spans="1:24" ht="9.9499999999999993" customHeight="1">
      <c r="A28" s="629"/>
      <c r="B28" s="634"/>
      <c r="C28" s="634"/>
      <c r="D28" s="634"/>
      <c r="E28" s="634"/>
      <c r="F28" s="635"/>
      <c r="G28" s="635"/>
      <c r="H28" s="635"/>
      <c r="I28" s="637"/>
      <c r="J28" s="637"/>
      <c r="K28" s="638"/>
      <c r="L28" s="266"/>
      <c r="M28" s="662"/>
      <c r="N28" s="662"/>
      <c r="O28" s="662"/>
      <c r="P28" s="662"/>
      <c r="Q28" s="662"/>
      <c r="R28" s="662"/>
      <c r="S28" s="662"/>
      <c r="T28" s="662"/>
      <c r="U28" s="266"/>
    </row>
    <row r="29" spans="1:24" s="277" customFormat="1" ht="24.95" customHeight="1">
      <c r="A29" s="632"/>
      <c r="B29" s="3855" t="s">
        <v>304</v>
      </c>
      <c r="C29" s="3856"/>
      <c r="D29" s="3856"/>
      <c r="E29" s="800" t="s">
        <v>305</v>
      </c>
      <c r="F29" s="635"/>
      <c r="G29" s="639"/>
      <c r="H29" s="639"/>
      <c r="I29" s="639"/>
      <c r="J29" s="639"/>
      <c r="K29" s="636"/>
      <c r="L29" s="266"/>
      <c r="M29" s="3880" t="s">
        <v>306</v>
      </c>
      <c r="N29" s="3881"/>
      <c r="O29" s="3881"/>
      <c r="P29" s="3881"/>
      <c r="Q29" s="3881"/>
      <c r="R29" s="3881"/>
      <c r="S29" s="3881"/>
      <c r="T29" s="3882"/>
      <c r="U29" s="266"/>
    </row>
    <row r="30" spans="1:24" ht="15" customHeight="1">
      <c r="A30" s="629"/>
      <c r="B30" s="640"/>
      <c r="C30" s="640"/>
      <c r="D30" s="640"/>
      <c r="E30" s="640"/>
      <c r="F30" s="635"/>
      <c r="G30" s="635"/>
      <c r="H30" s="635"/>
      <c r="I30" s="3890"/>
      <c r="J30" s="3890"/>
      <c r="K30" s="3891"/>
      <c r="L30" s="266"/>
      <c r="M30" s="448"/>
      <c r="N30" s="448"/>
      <c r="O30" s="448"/>
      <c r="P30" s="448"/>
      <c r="Q30" s="448"/>
      <c r="R30" s="448"/>
      <c r="S30" s="448"/>
      <c r="T30" s="448"/>
      <c r="U30" s="266"/>
    </row>
    <row r="31" spans="1:24" s="277" customFormat="1" ht="24.95" customHeight="1">
      <c r="A31" s="629"/>
      <c r="B31" s="3855" t="s">
        <v>393</v>
      </c>
      <c r="C31" s="3856"/>
      <c r="D31" s="3856"/>
      <c r="E31" s="20" t="str">
        <f>IF(Q38="","",Q38)</f>
        <v/>
      </c>
      <c r="F31" s="641"/>
      <c r="G31" s="3897" t="str">
        <f>IF(U3="si","Humedad Óptima Corregida:",IF(U3="no","Humedad Óptima:","---"))</f>
        <v>Humedad Óptima:</v>
      </c>
      <c r="H31" s="3898"/>
      <c r="I31" s="53" t="s">
        <v>95</v>
      </c>
      <c r="J31" s="18" t="str">
        <f>IF(J33="","",HLOOKUP($J$33,$P$13:$T$21,9,0))</f>
        <v/>
      </c>
      <c r="K31" s="642"/>
      <c r="L31" s="278"/>
      <c r="M31" s="546" t="s">
        <v>512</v>
      </c>
      <c r="N31" s="547"/>
      <c r="O31" s="548"/>
      <c r="P31" s="514" t="str">
        <f>IF(P13="","",(((9.789*$Q$38)-P13)/(P13*$Q$38))*100)</f>
        <v/>
      </c>
      <c r="Q31" s="514" t="str">
        <f>IF(P13="","",(((9.789*$Q$38)-Q13)/(Q13*$Q$38))*100)</f>
        <v/>
      </c>
      <c r="R31" s="514" t="str">
        <f>IF(P13="","",(((9.789*$Q$38)-R13)/(R13*$Q$38))*100)</f>
        <v/>
      </c>
      <c r="S31" s="514" t="str">
        <f>IF(P13="","",(((9.789*$Q$38)-S13)/(S13*$Q$38))*100)</f>
        <v/>
      </c>
      <c r="T31" s="514" t="str">
        <f>IF(P13="","",(((9.789*$Q$38)-T13)/(T13*$Q$38))*100)</f>
        <v/>
      </c>
      <c r="U31" s="515"/>
    </row>
    <row r="32" spans="1:24" ht="15" customHeight="1">
      <c r="A32" s="629"/>
      <c r="B32" s="634"/>
      <c r="C32" s="634"/>
      <c r="D32" s="634"/>
      <c r="E32" s="634"/>
      <c r="F32" s="641"/>
      <c r="G32" s="643"/>
      <c r="H32" s="643"/>
      <c r="I32" s="643"/>
      <c r="J32" s="635"/>
      <c r="K32" s="642"/>
      <c r="L32" s="266"/>
      <c r="T32" s="52"/>
      <c r="U32" s="266"/>
      <c r="V32" s="277"/>
      <c r="W32" s="277"/>
      <c r="X32" s="277"/>
    </row>
    <row r="33" spans="1:21" s="277" customFormat="1" ht="24.95" customHeight="1">
      <c r="A33" s="629"/>
      <c r="B33" s="3855" t="s">
        <v>394</v>
      </c>
      <c r="C33" s="3856"/>
      <c r="D33" s="3856"/>
      <c r="E33" s="51" t="str">
        <f>IF(P6="","",((P8)/(P8+P9))*100)</f>
        <v/>
      </c>
      <c r="F33" s="641"/>
      <c r="G33" s="3892" t="s">
        <v>603</v>
      </c>
      <c r="H33" s="3893"/>
      <c r="I33" s="3893"/>
      <c r="J33" s="19" t="str">
        <f>(IF(AND(P13="",Q13="",R13="",S13="",T13=""),"",MAX(P13:T13)))</f>
        <v/>
      </c>
      <c r="K33" s="644"/>
      <c r="L33" s="266"/>
      <c r="U33" s="266"/>
    </row>
    <row r="34" spans="1:21" ht="15" customHeight="1">
      <c r="A34" s="629"/>
      <c r="B34" s="634"/>
      <c r="C34" s="634"/>
      <c r="D34" s="634"/>
      <c r="E34" s="634"/>
      <c r="F34" s="645"/>
      <c r="G34" s="643"/>
      <c r="H34" s="643"/>
      <c r="I34" s="643"/>
      <c r="J34" s="645"/>
      <c r="K34" s="646"/>
      <c r="L34" s="266"/>
      <c r="M34" s="267"/>
      <c r="N34" s="267"/>
      <c r="O34" s="267"/>
      <c r="P34" s="267"/>
      <c r="Q34" s="267"/>
      <c r="R34" s="267"/>
      <c r="S34" s="267"/>
      <c r="T34" s="267"/>
      <c r="U34" s="266"/>
    </row>
    <row r="35" spans="1:21" s="277" customFormat="1" ht="24.95" customHeight="1">
      <c r="A35" s="629"/>
      <c r="B35" s="3855" t="s">
        <v>395</v>
      </c>
      <c r="C35" s="3856"/>
      <c r="D35" s="3856"/>
      <c r="E35" s="51" t="str">
        <f>IF(E33="","",100-E33)</f>
        <v/>
      </c>
      <c r="F35" s="647"/>
      <c r="G35" s="3873" t="s">
        <v>430</v>
      </c>
      <c r="H35" s="3874"/>
      <c r="I35" s="3874"/>
      <c r="J35" s="54" t="str">
        <f>IF(J33="","",IF(J33="","",($J$33/9.8066)*1000))</f>
        <v/>
      </c>
      <c r="K35" s="646"/>
      <c r="L35" s="266"/>
      <c r="M35" s="267"/>
      <c r="N35" s="267"/>
      <c r="O35" s="267"/>
      <c r="P35" s="267"/>
      <c r="Q35" s="267"/>
      <c r="R35" s="267"/>
      <c r="S35" s="267"/>
      <c r="T35" s="267"/>
      <c r="U35" s="266"/>
    </row>
    <row r="36" spans="1:21" ht="15" customHeight="1">
      <c r="A36" s="648"/>
      <c r="B36" s="649"/>
      <c r="C36" s="650"/>
      <c r="D36" s="650"/>
      <c r="E36" s="651"/>
      <c r="F36" s="651"/>
      <c r="G36" s="651"/>
      <c r="H36" s="651"/>
      <c r="I36" s="652"/>
      <c r="J36" s="652"/>
      <c r="K36" s="653"/>
    </row>
    <row r="37" spans="1:21" s="277" customFormat="1" ht="12.75" customHeight="1">
      <c r="A37" s="2203" t="s">
        <v>20</v>
      </c>
      <c r="B37" s="2204"/>
      <c r="C37" s="3899"/>
      <c r="D37" s="3899"/>
      <c r="E37" s="3899"/>
      <c r="F37" s="3899"/>
      <c r="G37" s="3899"/>
      <c r="H37" s="3899"/>
      <c r="I37" s="3899"/>
      <c r="J37" s="3899"/>
      <c r="K37" s="3900"/>
    </row>
    <row r="38" spans="1:21" ht="12.75" customHeight="1">
      <c r="A38" s="3290"/>
      <c r="B38" s="3291"/>
      <c r="C38" s="3291"/>
      <c r="D38" s="3291"/>
      <c r="E38" s="3291"/>
      <c r="F38" s="3291"/>
      <c r="G38" s="3291"/>
      <c r="H38" s="3291"/>
      <c r="I38" s="3291"/>
      <c r="J38" s="3291"/>
      <c r="K38" s="3292"/>
      <c r="M38" s="3887" t="s">
        <v>308</v>
      </c>
      <c r="N38" s="3888"/>
      <c r="O38" s="3888"/>
      <c r="P38" s="3889"/>
      <c r="Q38" s="4"/>
    </row>
    <row r="39" spans="1:21" s="277" customFormat="1" ht="12.75" customHeight="1">
      <c r="A39" s="3894"/>
      <c r="B39" s="3895"/>
      <c r="C39" s="3895"/>
      <c r="D39" s="3895"/>
      <c r="E39" s="3895"/>
      <c r="F39" s="3895"/>
      <c r="G39" s="3895"/>
      <c r="H39" s="3895"/>
      <c r="I39" s="3895"/>
      <c r="J39" s="3895"/>
      <c r="K39" s="3896"/>
      <c r="M39" s="3887" t="s">
        <v>309</v>
      </c>
      <c r="N39" s="3888"/>
      <c r="O39" s="3888"/>
      <c r="P39" s="3889"/>
      <c r="Q39" s="366" t="str">
        <f>IF(E33="","",E33)</f>
        <v/>
      </c>
    </row>
    <row r="40" spans="1:21" ht="14.1" customHeight="1">
      <c r="A40" s="3859"/>
      <c r="B40" s="3860"/>
      <c r="C40" s="1741" t="s">
        <v>10</v>
      </c>
      <c r="D40" s="1742"/>
      <c r="E40" s="1743"/>
      <c r="F40" s="1741" t="s">
        <v>11</v>
      </c>
      <c r="G40" s="1742"/>
      <c r="H40" s="1743"/>
      <c r="I40" s="1742" t="s">
        <v>12</v>
      </c>
      <c r="J40" s="1742"/>
      <c r="K40" s="1743"/>
      <c r="M40" s="449"/>
      <c r="N40" s="449"/>
      <c r="O40" s="449"/>
      <c r="P40" s="449"/>
      <c r="Q40" s="449"/>
    </row>
    <row r="41" spans="1:21" ht="39.950000000000003" customHeight="1">
      <c r="A41" s="3853" t="s">
        <v>13</v>
      </c>
      <c r="B41" s="3854"/>
      <c r="C41" s="3852"/>
      <c r="D41" s="2914"/>
      <c r="E41" s="2927"/>
      <c r="F41" s="3852"/>
      <c r="G41" s="2914"/>
      <c r="H41" s="2927"/>
      <c r="I41" s="654"/>
      <c r="J41" s="654"/>
      <c r="K41" s="655"/>
      <c r="M41" s="3870" t="s">
        <v>347</v>
      </c>
      <c r="N41" s="3870"/>
      <c r="O41" s="3870"/>
      <c r="P41" s="3870"/>
      <c r="Q41" s="367" t="str">
        <f>IF(J31="","",J31)</f>
        <v/>
      </c>
    </row>
    <row r="42" spans="1:21" ht="14.1" customHeight="1">
      <c r="A42" s="3863" t="s">
        <v>610</v>
      </c>
      <c r="B42" s="3864"/>
      <c r="C42" s="3868" t="s">
        <v>560</v>
      </c>
      <c r="D42" s="1897"/>
      <c r="E42" s="2069"/>
      <c r="F42" s="2068" t="s">
        <v>560</v>
      </c>
      <c r="G42" s="1897"/>
      <c r="H42" s="2069"/>
      <c r="I42" s="1897" t="s">
        <v>560</v>
      </c>
      <c r="J42" s="1897"/>
      <c r="K42" s="2069"/>
      <c r="M42" s="449"/>
      <c r="N42" s="449"/>
      <c r="O42" s="449"/>
      <c r="P42" s="449"/>
      <c r="Q42" s="449"/>
    </row>
    <row r="43" spans="1:21" ht="14.1" customHeight="1" thickBot="1">
      <c r="A43" s="3865" t="s">
        <v>14</v>
      </c>
      <c r="B43" s="3866"/>
      <c r="C43" s="3867" t="str">
        <f>IF(C42="--","",VLOOKUP(C42,firmas!A2:B31,2,0))</f>
        <v/>
      </c>
      <c r="D43" s="3861"/>
      <c r="E43" s="3862"/>
      <c r="F43" s="3867" t="str">
        <f>IF(F42="--","",VLOOKUP(F42,firmas!A33:B35,2,0))</f>
        <v/>
      </c>
      <c r="G43" s="3861"/>
      <c r="H43" s="3862"/>
      <c r="I43" s="3861" t="str">
        <f>IF(I42="--","",VLOOKUP(I42,firmas!A37:B38,2))</f>
        <v/>
      </c>
      <c r="J43" s="3861"/>
      <c r="K43" s="3862"/>
      <c r="M43" s="3870" t="s">
        <v>310</v>
      </c>
      <c r="N43" s="3870"/>
      <c r="O43" s="3870"/>
      <c r="P43" s="3870"/>
      <c r="Q43" s="366" t="str">
        <f>+IF(R13="","",R13)</f>
        <v/>
      </c>
    </row>
    <row r="44" spans="1:21" ht="14.1" customHeight="1" thickTop="1" thickBot="1">
      <c r="A44" s="3869" t="s">
        <v>8</v>
      </c>
      <c r="B44" s="3869"/>
      <c r="C44" s="3869"/>
      <c r="D44" s="3869"/>
      <c r="E44" s="3869"/>
      <c r="F44" s="3869"/>
      <c r="G44" s="3869"/>
      <c r="H44" s="3869"/>
      <c r="I44" s="3869"/>
      <c r="J44" s="3869"/>
      <c r="K44" s="3869"/>
    </row>
    <row r="45" spans="1:21" ht="18" customHeight="1" thickTop="1">
      <c r="A45" s="2916" t="s">
        <v>161</v>
      </c>
      <c r="B45" s="2916"/>
      <c r="C45" s="2916"/>
      <c r="D45" s="2916"/>
      <c r="E45" s="2916"/>
      <c r="F45" s="2916"/>
      <c r="G45" s="2916"/>
      <c r="H45" s="2916"/>
      <c r="I45" s="2916"/>
      <c r="J45" s="2916"/>
      <c r="K45" s="2916"/>
    </row>
    <row r="46" spans="1:21" ht="27.95" customHeight="1">
      <c r="A46" s="3091" t="s">
        <v>175</v>
      </c>
      <c r="B46" s="3091"/>
      <c r="C46" s="3091"/>
      <c r="D46" s="3091"/>
      <c r="E46" s="3091"/>
      <c r="F46" s="3091"/>
      <c r="G46" s="3091"/>
      <c r="H46" s="3091"/>
      <c r="I46" s="3091"/>
      <c r="J46" s="3091"/>
      <c r="K46" s="3091"/>
    </row>
    <row r="47" spans="1:21" ht="30" customHeight="1"/>
    <row r="48" spans="1:21" ht="13.5" customHeight="1"/>
    <row r="52" spans="1:21">
      <c r="A52" s="277"/>
    </row>
    <row r="53" spans="1:21" ht="13.5" customHeight="1">
      <c r="A53" s="277"/>
    </row>
    <row r="54" spans="1:21" ht="12.75" customHeight="1">
      <c r="A54" s="277"/>
    </row>
    <row r="55" spans="1:21">
      <c r="A55" s="277"/>
    </row>
    <row r="56" spans="1:21" ht="24.75" customHeight="1">
      <c r="A56" s="277"/>
    </row>
    <row r="57" spans="1:21" ht="34.5" customHeight="1"/>
    <row r="58" spans="1:21">
      <c r="A58" s="277"/>
    </row>
    <row r="59" spans="1:21">
      <c r="A59" s="277"/>
    </row>
    <row r="60" spans="1:21">
      <c r="A60" s="277"/>
    </row>
    <row r="61" spans="1:21">
      <c r="A61" s="277"/>
    </row>
    <row r="63" spans="1:21" s="277" customFormat="1">
      <c r="A63" s="272"/>
      <c r="B63" s="272"/>
      <c r="C63" s="272"/>
      <c r="D63" s="272"/>
      <c r="E63" s="272"/>
      <c r="F63" s="272"/>
      <c r="G63" s="272"/>
      <c r="H63" s="272"/>
      <c r="I63" s="272"/>
      <c r="J63" s="272"/>
      <c r="K63" s="272"/>
      <c r="L63" s="272"/>
      <c r="Q63" s="279"/>
      <c r="R63" s="279"/>
      <c r="U63" s="272"/>
    </row>
    <row r="64" spans="1:21" s="277" customFormat="1">
      <c r="A64" s="272"/>
      <c r="B64" s="272"/>
      <c r="C64" s="272"/>
      <c r="D64" s="272"/>
      <c r="E64" s="272"/>
      <c r="F64" s="272"/>
      <c r="G64" s="272"/>
      <c r="H64" s="272"/>
      <c r="I64" s="272"/>
      <c r="J64" s="272"/>
      <c r="K64" s="272"/>
      <c r="L64" s="272"/>
      <c r="P64" s="280"/>
      <c r="Q64" s="281"/>
      <c r="R64" s="281"/>
      <c r="U64" s="272"/>
    </row>
    <row r="65" spans="1:21" s="277" customFormat="1">
      <c r="A65" s="272"/>
      <c r="B65" s="272"/>
      <c r="C65" s="272"/>
      <c r="D65" s="272"/>
      <c r="E65" s="272"/>
      <c r="F65" s="272"/>
      <c r="G65" s="272"/>
      <c r="H65" s="272"/>
      <c r="I65" s="272"/>
      <c r="J65" s="272"/>
      <c r="K65" s="272"/>
      <c r="L65" s="272"/>
      <c r="P65" s="280"/>
      <c r="Q65" s="281"/>
      <c r="R65" s="281"/>
      <c r="U65" s="272"/>
    </row>
    <row r="66" spans="1:21" s="277" customFormat="1">
      <c r="A66" s="272"/>
      <c r="B66" s="272"/>
      <c r="C66" s="272"/>
      <c r="D66" s="272"/>
      <c r="E66" s="272"/>
      <c r="F66" s="272"/>
      <c r="G66" s="272"/>
      <c r="H66" s="272"/>
      <c r="I66" s="272"/>
      <c r="J66" s="272"/>
      <c r="K66" s="272"/>
      <c r="L66" s="272"/>
      <c r="P66" s="280"/>
      <c r="Q66" s="281"/>
      <c r="R66" s="281"/>
      <c r="U66" s="272"/>
    </row>
    <row r="67" spans="1:21" s="277" customFormat="1">
      <c r="A67" s="272"/>
      <c r="B67" s="272"/>
      <c r="C67" s="272"/>
      <c r="D67" s="272"/>
      <c r="E67" s="272"/>
      <c r="F67" s="272"/>
      <c r="G67" s="272"/>
      <c r="H67" s="272"/>
      <c r="I67" s="272"/>
      <c r="J67" s="272"/>
      <c r="K67" s="272"/>
      <c r="L67" s="272"/>
      <c r="P67" s="280"/>
      <c r="Q67" s="281"/>
      <c r="R67" s="281"/>
      <c r="U67" s="272"/>
    </row>
    <row r="69" spans="1:21" s="277" customFormat="1">
      <c r="A69" s="272"/>
      <c r="B69" s="272"/>
      <c r="C69" s="272"/>
      <c r="D69" s="272"/>
      <c r="E69" s="272"/>
      <c r="F69" s="272"/>
      <c r="G69" s="272"/>
      <c r="H69" s="272"/>
      <c r="I69" s="272"/>
      <c r="J69" s="272"/>
      <c r="K69" s="272"/>
      <c r="L69" s="272"/>
      <c r="Q69" s="282"/>
      <c r="U69" s="272"/>
    </row>
    <row r="70" spans="1:21" s="277" customFormat="1">
      <c r="A70" s="272"/>
      <c r="B70" s="272"/>
      <c r="C70" s="272"/>
      <c r="D70" s="272"/>
      <c r="E70" s="272"/>
      <c r="F70" s="272"/>
      <c r="G70" s="272"/>
      <c r="H70" s="272"/>
      <c r="I70" s="272"/>
      <c r="J70" s="272"/>
      <c r="K70" s="272"/>
      <c r="L70" s="272"/>
      <c r="Q70" s="282"/>
      <c r="U70" s="272"/>
    </row>
    <row r="71" spans="1:21" s="277" customFormat="1">
      <c r="A71" s="272"/>
      <c r="B71" s="272"/>
      <c r="C71" s="272"/>
      <c r="D71" s="272"/>
      <c r="E71" s="272"/>
      <c r="F71" s="272"/>
      <c r="G71" s="272"/>
      <c r="H71" s="272"/>
      <c r="I71" s="272"/>
      <c r="J71" s="272"/>
      <c r="K71" s="272"/>
      <c r="L71" s="272"/>
      <c r="Q71" s="282"/>
      <c r="U71" s="272"/>
    </row>
    <row r="72" spans="1:21" s="277" customFormat="1">
      <c r="A72" s="272"/>
      <c r="B72" s="272"/>
      <c r="C72" s="272"/>
      <c r="D72" s="272"/>
      <c r="E72" s="272"/>
      <c r="F72" s="272"/>
      <c r="G72" s="272"/>
      <c r="H72" s="272"/>
      <c r="I72" s="272"/>
      <c r="J72" s="272"/>
      <c r="K72" s="272"/>
      <c r="L72" s="272"/>
      <c r="Q72" s="282"/>
      <c r="U72" s="272"/>
    </row>
  </sheetData>
  <sheetProtection algorithmName="SHA-512" hashValue="AlnPJF47seJ/Fz1K6YF5a5zFSmVg/Coph33bA9HpOOOV1pE7qee4MloShnBQAS0iIFh182vfSjMSkHz2qeVkOQ==" saltValue="p6C4AGArCZI+XFmdU59GTg==" spinCount="100000" sheet="1" formatCells="0"/>
  <mergeCells count="85">
    <mergeCell ref="U3:U4"/>
    <mergeCell ref="T6:T7"/>
    <mergeCell ref="M7:O7"/>
    <mergeCell ref="M5:O5"/>
    <mergeCell ref="Q5:R5"/>
    <mergeCell ref="Q7:R7"/>
    <mergeCell ref="R3:T4"/>
    <mergeCell ref="Q8:R8"/>
    <mergeCell ref="M6:O6"/>
    <mergeCell ref="Q6:R6"/>
    <mergeCell ref="M13:O13"/>
    <mergeCell ref="M17:O17"/>
    <mergeCell ref="M12:O12"/>
    <mergeCell ref="M14:O14"/>
    <mergeCell ref="M9:O9"/>
    <mergeCell ref="M11:O11"/>
    <mergeCell ref="M8:O8"/>
    <mergeCell ref="M18:O18"/>
    <mergeCell ref="M39:P39"/>
    <mergeCell ref="I30:K30"/>
    <mergeCell ref="G33:I33"/>
    <mergeCell ref="M29:T29"/>
    <mergeCell ref="M38:P38"/>
    <mergeCell ref="A39:K39"/>
    <mergeCell ref="M19:O19"/>
    <mergeCell ref="B27:D27"/>
    <mergeCell ref="A38:K38"/>
    <mergeCell ref="G31:H31"/>
    <mergeCell ref="A37:B37"/>
    <mergeCell ref="C37:K37"/>
    <mergeCell ref="M43:P43"/>
    <mergeCell ref="J8:K8"/>
    <mergeCell ref="G35:I35"/>
    <mergeCell ref="B31:D31"/>
    <mergeCell ref="B29:D29"/>
    <mergeCell ref="M41:P41"/>
    <mergeCell ref="M20:O20"/>
    <mergeCell ref="B11:E11"/>
    <mergeCell ref="F11:G11"/>
    <mergeCell ref="I11:J11"/>
    <mergeCell ref="M21:O21"/>
    <mergeCell ref="M22:T22"/>
    <mergeCell ref="M23:O23"/>
    <mergeCell ref="M24:O24"/>
    <mergeCell ref="M25:O25"/>
    <mergeCell ref="M15:O15"/>
    <mergeCell ref="A45:K45"/>
    <mergeCell ref="A46:K46"/>
    <mergeCell ref="I42:K42"/>
    <mergeCell ref="I43:K43"/>
    <mergeCell ref="A42:B42"/>
    <mergeCell ref="A43:B43"/>
    <mergeCell ref="F42:H42"/>
    <mergeCell ref="F43:H43"/>
    <mergeCell ref="C42:E42"/>
    <mergeCell ref="C43:E43"/>
    <mergeCell ref="A44:K44"/>
    <mergeCell ref="I40:K40"/>
    <mergeCell ref="G27:I27"/>
    <mergeCell ref="A40:B40"/>
    <mergeCell ref="B35:D35"/>
    <mergeCell ref="F40:H40"/>
    <mergeCell ref="F41:H41"/>
    <mergeCell ref="C40:E40"/>
    <mergeCell ref="C41:E41"/>
    <mergeCell ref="A41:B41"/>
    <mergeCell ref="B33:D33"/>
    <mergeCell ref="E7:F7"/>
    <mergeCell ref="B7:D7"/>
    <mergeCell ref="B8:D8"/>
    <mergeCell ref="B9:G9"/>
    <mergeCell ref="J6:K6"/>
    <mergeCell ref="H6:I6"/>
    <mergeCell ref="H8:I8"/>
    <mergeCell ref="J7:K7"/>
    <mergeCell ref="E8:F8"/>
    <mergeCell ref="J9:K9"/>
    <mergeCell ref="A1:B5"/>
    <mergeCell ref="B6:G6"/>
    <mergeCell ref="C1:K1"/>
    <mergeCell ref="C2:K2"/>
    <mergeCell ref="C3:K3"/>
    <mergeCell ref="C4:G4"/>
    <mergeCell ref="C5:K5"/>
    <mergeCell ref="H4:K4"/>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www.umv.gov.co111311&amp;C&amp;6PRO-FM-007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I42:K42</xm:sqref>
        </x14:dataValidation>
        <x14:dataValidation type="list" allowBlank="1" showInputMessage="1" showErrorMessage="1">
          <x14:formula1>
            <xm:f>firmas!$A$2:$A$31</xm:f>
          </x14:formula1>
          <xm:sqref>C42:E42</xm:sqref>
        </x14:dataValidation>
        <x14:dataValidation type="list" allowBlank="1" showInputMessage="1" showErrorMessage="1">
          <x14:formula1>
            <xm:f>firmas!$A$33:$A$35</xm:f>
          </x14:formula1>
          <xm:sqref>F42:H42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DH81"/>
  <sheetViews>
    <sheetView showGridLines="0" showZeros="0" view="pageBreakPreview" topLeftCell="C1" zoomScaleSheetLayoutView="100" workbookViewId="0">
      <selection activeCell="E17" sqref="E17:X17"/>
    </sheetView>
  </sheetViews>
  <sheetFormatPr baseColWidth="10" defaultRowHeight="12.75"/>
  <cols>
    <col min="1" max="4" width="2.7109375" style="1310" customWidth="1"/>
    <col min="5" max="10" width="4" style="1310" customWidth="1"/>
    <col min="11" max="11" width="3" style="1310" customWidth="1"/>
    <col min="12" max="12" width="2" style="350" customWidth="1"/>
    <col min="13" max="13" width="3.28515625" style="1310" customWidth="1"/>
    <col min="14" max="14" width="2.85546875" style="1310" customWidth="1"/>
    <col min="15" max="16" width="1.42578125" style="1310" customWidth="1"/>
    <col min="17" max="25" width="3" style="1310" customWidth="1"/>
    <col min="26" max="26" width="4" style="1310" customWidth="1"/>
    <col min="27" max="27" width="3.85546875" style="1310" customWidth="1"/>
    <col min="28" max="28" width="2.85546875" style="1310" customWidth="1"/>
    <col min="29" max="29" width="3.140625" style="1310" customWidth="1"/>
    <col min="30" max="30" width="3.28515625" style="1310" customWidth="1"/>
    <col min="31" max="31" width="2.5703125" style="1310" customWidth="1"/>
    <col min="32" max="32" width="2.28515625" style="1310" customWidth="1"/>
    <col min="33" max="33" width="10.7109375" style="114" customWidth="1"/>
    <col min="34" max="34" width="6.7109375" style="114" customWidth="1"/>
    <col min="35" max="35" width="6.5703125" style="114" customWidth="1"/>
    <col min="36" max="62" width="6.7109375" style="114" customWidth="1"/>
    <col min="63" max="86" width="6.7109375" style="334" customWidth="1"/>
    <col min="87" max="112" width="6.7109375" style="970" customWidth="1"/>
    <col min="113" max="310" width="11.42578125" style="1310"/>
    <col min="311" max="317" width="2.7109375" style="1310" customWidth="1"/>
    <col min="318" max="318" width="2.85546875" style="1310" customWidth="1"/>
    <col min="319" max="319" width="2.7109375" style="1310" customWidth="1"/>
    <col min="320" max="320" width="3" style="1310" customWidth="1"/>
    <col min="321" max="336" width="2.7109375" style="1310" customWidth="1"/>
    <col min="337" max="337" width="4" style="1310" customWidth="1"/>
    <col min="338" max="343" width="2.7109375" style="1310" customWidth="1"/>
    <col min="344" max="354" width="7.28515625" style="1310" customWidth="1"/>
    <col min="355" max="566" width="11.42578125" style="1310"/>
    <col min="567" max="573" width="2.7109375" style="1310" customWidth="1"/>
    <col min="574" max="574" width="2.85546875" style="1310" customWidth="1"/>
    <col min="575" max="575" width="2.7109375" style="1310" customWidth="1"/>
    <col min="576" max="576" width="3" style="1310" customWidth="1"/>
    <col min="577" max="592" width="2.7109375" style="1310" customWidth="1"/>
    <col min="593" max="593" width="4" style="1310" customWidth="1"/>
    <col min="594" max="599" width="2.7109375" style="1310" customWidth="1"/>
    <col min="600" max="610" width="7.28515625" style="1310" customWidth="1"/>
    <col min="611" max="822" width="11.42578125" style="1310"/>
    <col min="823" max="829" width="2.7109375" style="1310" customWidth="1"/>
    <col min="830" max="830" width="2.85546875" style="1310" customWidth="1"/>
    <col min="831" max="831" width="2.7109375" style="1310" customWidth="1"/>
    <col min="832" max="832" width="3" style="1310" customWidth="1"/>
    <col min="833" max="848" width="2.7109375" style="1310" customWidth="1"/>
    <col min="849" max="849" width="4" style="1310" customWidth="1"/>
    <col min="850" max="855" width="2.7109375" style="1310" customWidth="1"/>
    <col min="856" max="866" width="7.28515625" style="1310" customWidth="1"/>
    <col min="867" max="1078" width="11.42578125" style="1310"/>
    <col min="1079" max="1085" width="2.7109375" style="1310" customWidth="1"/>
    <col min="1086" max="1086" width="2.85546875" style="1310" customWidth="1"/>
    <col min="1087" max="1087" width="2.7109375" style="1310" customWidth="1"/>
    <col min="1088" max="1088" width="3" style="1310" customWidth="1"/>
    <col min="1089" max="1104" width="2.7109375" style="1310" customWidth="1"/>
    <col min="1105" max="1105" width="4" style="1310" customWidth="1"/>
    <col min="1106" max="1111" width="2.7109375" style="1310" customWidth="1"/>
    <col min="1112" max="1122" width="7.28515625" style="1310" customWidth="1"/>
    <col min="1123" max="1334" width="11.42578125" style="1310"/>
    <col min="1335" max="1341" width="2.7109375" style="1310" customWidth="1"/>
    <col min="1342" max="1342" width="2.85546875" style="1310" customWidth="1"/>
    <col min="1343" max="1343" width="2.7109375" style="1310" customWidth="1"/>
    <col min="1344" max="1344" width="3" style="1310" customWidth="1"/>
    <col min="1345" max="1360" width="2.7109375" style="1310" customWidth="1"/>
    <col min="1361" max="1361" width="4" style="1310" customWidth="1"/>
    <col min="1362" max="1367" width="2.7109375" style="1310" customWidth="1"/>
    <col min="1368" max="1378" width="7.28515625" style="1310" customWidth="1"/>
    <col min="1379" max="1590" width="11.42578125" style="1310"/>
    <col min="1591" max="1597" width="2.7109375" style="1310" customWidth="1"/>
    <col min="1598" max="1598" width="2.85546875" style="1310" customWidth="1"/>
    <col min="1599" max="1599" width="2.7109375" style="1310" customWidth="1"/>
    <col min="1600" max="1600" width="3" style="1310" customWidth="1"/>
    <col min="1601" max="1616" width="2.7109375" style="1310" customWidth="1"/>
    <col min="1617" max="1617" width="4" style="1310" customWidth="1"/>
    <col min="1618" max="1623" width="2.7109375" style="1310" customWidth="1"/>
    <col min="1624" max="1634" width="7.28515625" style="1310" customWidth="1"/>
    <col min="1635" max="1846" width="11.42578125" style="1310"/>
    <col min="1847" max="1853" width="2.7109375" style="1310" customWidth="1"/>
    <col min="1854" max="1854" width="2.85546875" style="1310" customWidth="1"/>
    <col min="1855" max="1855" width="2.7109375" style="1310" customWidth="1"/>
    <col min="1856" max="1856" width="3" style="1310" customWidth="1"/>
    <col min="1857" max="1872" width="2.7109375" style="1310" customWidth="1"/>
    <col min="1873" max="1873" width="4" style="1310" customWidth="1"/>
    <col min="1874" max="1879" width="2.7109375" style="1310" customWidth="1"/>
    <col min="1880" max="1890" width="7.28515625" style="1310" customWidth="1"/>
    <col min="1891" max="2102" width="11.42578125" style="1310"/>
    <col min="2103" max="2109" width="2.7109375" style="1310" customWidth="1"/>
    <col min="2110" max="2110" width="2.85546875" style="1310" customWidth="1"/>
    <col min="2111" max="2111" width="2.7109375" style="1310" customWidth="1"/>
    <col min="2112" max="2112" width="3" style="1310" customWidth="1"/>
    <col min="2113" max="2128" width="2.7109375" style="1310" customWidth="1"/>
    <col min="2129" max="2129" width="4" style="1310" customWidth="1"/>
    <col min="2130" max="2135" width="2.7109375" style="1310" customWidth="1"/>
    <col min="2136" max="2146" width="7.28515625" style="1310" customWidth="1"/>
    <col min="2147" max="2358" width="11.42578125" style="1310"/>
    <col min="2359" max="2365" width="2.7109375" style="1310" customWidth="1"/>
    <col min="2366" max="2366" width="2.85546875" style="1310" customWidth="1"/>
    <col min="2367" max="2367" width="2.7109375" style="1310" customWidth="1"/>
    <col min="2368" max="2368" width="3" style="1310" customWidth="1"/>
    <col min="2369" max="2384" width="2.7109375" style="1310" customWidth="1"/>
    <col min="2385" max="2385" width="4" style="1310" customWidth="1"/>
    <col min="2386" max="2391" width="2.7109375" style="1310" customWidth="1"/>
    <col min="2392" max="2402" width="7.28515625" style="1310" customWidth="1"/>
    <col min="2403" max="2614" width="11.42578125" style="1310"/>
    <col min="2615" max="2621" width="2.7109375" style="1310" customWidth="1"/>
    <col min="2622" max="2622" width="2.85546875" style="1310" customWidth="1"/>
    <col min="2623" max="2623" width="2.7109375" style="1310" customWidth="1"/>
    <col min="2624" max="2624" width="3" style="1310" customWidth="1"/>
    <col min="2625" max="2640" width="2.7109375" style="1310" customWidth="1"/>
    <col min="2641" max="2641" width="4" style="1310" customWidth="1"/>
    <col min="2642" max="2647" width="2.7109375" style="1310" customWidth="1"/>
    <col min="2648" max="2658" width="7.28515625" style="1310" customWidth="1"/>
    <col min="2659" max="2870" width="11.42578125" style="1310"/>
    <col min="2871" max="2877" width="2.7109375" style="1310" customWidth="1"/>
    <col min="2878" max="2878" width="2.85546875" style="1310" customWidth="1"/>
    <col min="2879" max="2879" width="2.7109375" style="1310" customWidth="1"/>
    <col min="2880" max="2880" width="3" style="1310" customWidth="1"/>
    <col min="2881" max="2896" width="2.7109375" style="1310" customWidth="1"/>
    <col min="2897" max="2897" width="4" style="1310" customWidth="1"/>
    <col min="2898" max="2903" width="2.7109375" style="1310" customWidth="1"/>
    <col min="2904" max="2914" width="7.28515625" style="1310" customWidth="1"/>
    <col min="2915" max="3126" width="11.42578125" style="1310"/>
    <col min="3127" max="3133" width="2.7109375" style="1310" customWidth="1"/>
    <col min="3134" max="3134" width="2.85546875" style="1310" customWidth="1"/>
    <col min="3135" max="3135" width="2.7109375" style="1310" customWidth="1"/>
    <col min="3136" max="3136" width="3" style="1310" customWidth="1"/>
    <col min="3137" max="3152" width="2.7109375" style="1310" customWidth="1"/>
    <col min="3153" max="3153" width="4" style="1310" customWidth="1"/>
    <col min="3154" max="3159" width="2.7109375" style="1310" customWidth="1"/>
    <col min="3160" max="3170" width="7.28515625" style="1310" customWidth="1"/>
    <col min="3171" max="3382" width="11.42578125" style="1310"/>
    <col min="3383" max="3389" width="2.7109375" style="1310" customWidth="1"/>
    <col min="3390" max="3390" width="2.85546875" style="1310" customWidth="1"/>
    <col min="3391" max="3391" width="2.7109375" style="1310" customWidth="1"/>
    <col min="3392" max="3392" width="3" style="1310" customWidth="1"/>
    <col min="3393" max="3408" width="2.7109375" style="1310" customWidth="1"/>
    <col min="3409" max="3409" width="4" style="1310" customWidth="1"/>
    <col min="3410" max="3415" width="2.7109375" style="1310" customWidth="1"/>
    <col min="3416" max="3426" width="7.28515625" style="1310" customWidth="1"/>
    <col min="3427" max="3638" width="11.42578125" style="1310"/>
    <col min="3639" max="3645" width="2.7109375" style="1310" customWidth="1"/>
    <col min="3646" max="3646" width="2.85546875" style="1310" customWidth="1"/>
    <col min="3647" max="3647" width="2.7109375" style="1310" customWidth="1"/>
    <col min="3648" max="3648" width="3" style="1310" customWidth="1"/>
    <col min="3649" max="3664" width="2.7109375" style="1310" customWidth="1"/>
    <col min="3665" max="3665" width="4" style="1310" customWidth="1"/>
    <col min="3666" max="3671" width="2.7109375" style="1310" customWidth="1"/>
    <col min="3672" max="3682" width="7.28515625" style="1310" customWidth="1"/>
    <col min="3683" max="3894" width="11.42578125" style="1310"/>
    <col min="3895" max="3901" width="2.7109375" style="1310" customWidth="1"/>
    <col min="3902" max="3902" width="2.85546875" style="1310" customWidth="1"/>
    <col min="3903" max="3903" width="2.7109375" style="1310" customWidth="1"/>
    <col min="3904" max="3904" width="3" style="1310" customWidth="1"/>
    <col min="3905" max="3920" width="2.7109375" style="1310" customWidth="1"/>
    <col min="3921" max="3921" width="4" style="1310" customWidth="1"/>
    <col min="3922" max="3927" width="2.7109375" style="1310" customWidth="1"/>
    <col min="3928" max="3938" width="7.28515625" style="1310" customWidth="1"/>
    <col min="3939" max="4150" width="11.42578125" style="1310"/>
    <col min="4151" max="4157" width="2.7109375" style="1310" customWidth="1"/>
    <col min="4158" max="4158" width="2.85546875" style="1310" customWidth="1"/>
    <col min="4159" max="4159" width="2.7109375" style="1310" customWidth="1"/>
    <col min="4160" max="4160" width="3" style="1310" customWidth="1"/>
    <col min="4161" max="4176" width="2.7109375" style="1310" customWidth="1"/>
    <col min="4177" max="4177" width="4" style="1310" customWidth="1"/>
    <col min="4178" max="4183" width="2.7109375" style="1310" customWidth="1"/>
    <col min="4184" max="4194" width="7.28515625" style="1310" customWidth="1"/>
    <col min="4195" max="4406" width="11.42578125" style="1310"/>
    <col min="4407" max="4413" width="2.7109375" style="1310" customWidth="1"/>
    <col min="4414" max="4414" width="2.85546875" style="1310" customWidth="1"/>
    <col min="4415" max="4415" width="2.7109375" style="1310" customWidth="1"/>
    <col min="4416" max="4416" width="3" style="1310" customWidth="1"/>
    <col min="4417" max="4432" width="2.7109375" style="1310" customWidth="1"/>
    <col min="4433" max="4433" width="4" style="1310" customWidth="1"/>
    <col min="4434" max="4439" width="2.7109375" style="1310" customWidth="1"/>
    <col min="4440" max="4450" width="7.28515625" style="1310" customWidth="1"/>
    <col min="4451" max="4662" width="11.42578125" style="1310"/>
    <col min="4663" max="4669" width="2.7109375" style="1310" customWidth="1"/>
    <col min="4670" max="4670" width="2.85546875" style="1310" customWidth="1"/>
    <col min="4671" max="4671" width="2.7109375" style="1310" customWidth="1"/>
    <col min="4672" max="4672" width="3" style="1310" customWidth="1"/>
    <col min="4673" max="4688" width="2.7109375" style="1310" customWidth="1"/>
    <col min="4689" max="4689" width="4" style="1310" customWidth="1"/>
    <col min="4690" max="4695" width="2.7109375" style="1310" customWidth="1"/>
    <col min="4696" max="4706" width="7.28515625" style="1310" customWidth="1"/>
    <col min="4707" max="4918" width="11.42578125" style="1310"/>
    <col min="4919" max="4925" width="2.7109375" style="1310" customWidth="1"/>
    <col min="4926" max="4926" width="2.85546875" style="1310" customWidth="1"/>
    <col min="4927" max="4927" width="2.7109375" style="1310" customWidth="1"/>
    <col min="4928" max="4928" width="3" style="1310" customWidth="1"/>
    <col min="4929" max="4944" width="2.7109375" style="1310" customWidth="1"/>
    <col min="4945" max="4945" width="4" style="1310" customWidth="1"/>
    <col min="4946" max="4951" width="2.7109375" style="1310" customWidth="1"/>
    <col min="4952" max="4962" width="7.28515625" style="1310" customWidth="1"/>
    <col min="4963" max="5174" width="11.42578125" style="1310"/>
    <col min="5175" max="5181" width="2.7109375" style="1310" customWidth="1"/>
    <col min="5182" max="5182" width="2.85546875" style="1310" customWidth="1"/>
    <col min="5183" max="5183" width="2.7109375" style="1310" customWidth="1"/>
    <col min="5184" max="5184" width="3" style="1310" customWidth="1"/>
    <col min="5185" max="5200" width="2.7109375" style="1310" customWidth="1"/>
    <col min="5201" max="5201" width="4" style="1310" customWidth="1"/>
    <col min="5202" max="5207" width="2.7109375" style="1310" customWidth="1"/>
    <col min="5208" max="5218" width="7.28515625" style="1310" customWidth="1"/>
    <col min="5219" max="5430" width="11.42578125" style="1310"/>
    <col min="5431" max="5437" width="2.7109375" style="1310" customWidth="1"/>
    <col min="5438" max="5438" width="2.85546875" style="1310" customWidth="1"/>
    <col min="5439" max="5439" width="2.7109375" style="1310" customWidth="1"/>
    <col min="5440" max="5440" width="3" style="1310" customWidth="1"/>
    <col min="5441" max="5456" width="2.7109375" style="1310" customWidth="1"/>
    <col min="5457" max="5457" width="4" style="1310" customWidth="1"/>
    <col min="5458" max="5463" width="2.7109375" style="1310" customWidth="1"/>
    <col min="5464" max="5474" width="7.28515625" style="1310" customWidth="1"/>
    <col min="5475" max="5686" width="11.42578125" style="1310"/>
    <col min="5687" max="5693" width="2.7109375" style="1310" customWidth="1"/>
    <col min="5694" max="5694" width="2.85546875" style="1310" customWidth="1"/>
    <col min="5695" max="5695" width="2.7109375" style="1310" customWidth="1"/>
    <col min="5696" max="5696" width="3" style="1310" customWidth="1"/>
    <col min="5697" max="5712" width="2.7109375" style="1310" customWidth="1"/>
    <col min="5713" max="5713" width="4" style="1310" customWidth="1"/>
    <col min="5714" max="5719" width="2.7109375" style="1310" customWidth="1"/>
    <col min="5720" max="5730" width="7.28515625" style="1310" customWidth="1"/>
    <col min="5731" max="5942" width="11.42578125" style="1310"/>
    <col min="5943" max="5949" width="2.7109375" style="1310" customWidth="1"/>
    <col min="5950" max="5950" width="2.85546875" style="1310" customWidth="1"/>
    <col min="5951" max="5951" width="2.7109375" style="1310" customWidth="1"/>
    <col min="5952" max="5952" width="3" style="1310" customWidth="1"/>
    <col min="5953" max="5968" width="2.7109375" style="1310" customWidth="1"/>
    <col min="5969" max="5969" width="4" style="1310" customWidth="1"/>
    <col min="5970" max="5975" width="2.7109375" style="1310" customWidth="1"/>
    <col min="5976" max="5986" width="7.28515625" style="1310" customWidth="1"/>
    <col min="5987" max="6198" width="11.42578125" style="1310"/>
    <col min="6199" max="6205" width="2.7109375" style="1310" customWidth="1"/>
    <col min="6206" max="6206" width="2.85546875" style="1310" customWidth="1"/>
    <col min="6207" max="6207" width="2.7109375" style="1310" customWidth="1"/>
    <col min="6208" max="6208" width="3" style="1310" customWidth="1"/>
    <col min="6209" max="6224" width="2.7109375" style="1310" customWidth="1"/>
    <col min="6225" max="6225" width="4" style="1310" customWidth="1"/>
    <col min="6226" max="6231" width="2.7109375" style="1310" customWidth="1"/>
    <col min="6232" max="6242" width="7.28515625" style="1310" customWidth="1"/>
    <col min="6243" max="6454" width="11.42578125" style="1310"/>
    <col min="6455" max="6461" width="2.7109375" style="1310" customWidth="1"/>
    <col min="6462" max="6462" width="2.85546875" style="1310" customWidth="1"/>
    <col min="6463" max="6463" width="2.7109375" style="1310" customWidth="1"/>
    <col min="6464" max="6464" width="3" style="1310" customWidth="1"/>
    <col min="6465" max="6480" width="2.7109375" style="1310" customWidth="1"/>
    <col min="6481" max="6481" width="4" style="1310" customWidth="1"/>
    <col min="6482" max="6487" width="2.7109375" style="1310" customWidth="1"/>
    <col min="6488" max="6498" width="7.28515625" style="1310" customWidth="1"/>
    <col min="6499" max="6710" width="11.42578125" style="1310"/>
    <col min="6711" max="6717" width="2.7109375" style="1310" customWidth="1"/>
    <col min="6718" max="6718" width="2.85546875" style="1310" customWidth="1"/>
    <col min="6719" max="6719" width="2.7109375" style="1310" customWidth="1"/>
    <col min="6720" max="6720" width="3" style="1310" customWidth="1"/>
    <col min="6721" max="6736" width="2.7109375" style="1310" customWidth="1"/>
    <col min="6737" max="6737" width="4" style="1310" customWidth="1"/>
    <col min="6738" max="6743" width="2.7109375" style="1310" customWidth="1"/>
    <col min="6744" max="6754" width="7.28515625" style="1310" customWidth="1"/>
    <col min="6755" max="6966" width="11.42578125" style="1310"/>
    <col min="6967" max="6973" width="2.7109375" style="1310" customWidth="1"/>
    <col min="6974" max="6974" width="2.85546875" style="1310" customWidth="1"/>
    <col min="6975" max="6975" width="2.7109375" style="1310" customWidth="1"/>
    <col min="6976" max="6976" width="3" style="1310" customWidth="1"/>
    <col min="6977" max="6992" width="2.7109375" style="1310" customWidth="1"/>
    <col min="6993" max="6993" width="4" style="1310" customWidth="1"/>
    <col min="6994" max="6999" width="2.7109375" style="1310" customWidth="1"/>
    <col min="7000" max="7010" width="7.28515625" style="1310" customWidth="1"/>
    <col min="7011" max="7222" width="11.42578125" style="1310"/>
    <col min="7223" max="7229" width="2.7109375" style="1310" customWidth="1"/>
    <col min="7230" max="7230" width="2.85546875" style="1310" customWidth="1"/>
    <col min="7231" max="7231" width="2.7109375" style="1310" customWidth="1"/>
    <col min="7232" max="7232" width="3" style="1310" customWidth="1"/>
    <col min="7233" max="7248" width="2.7109375" style="1310" customWidth="1"/>
    <col min="7249" max="7249" width="4" style="1310" customWidth="1"/>
    <col min="7250" max="7255" width="2.7109375" style="1310" customWidth="1"/>
    <col min="7256" max="7266" width="7.28515625" style="1310" customWidth="1"/>
    <col min="7267" max="7478" width="11.42578125" style="1310"/>
    <col min="7479" max="7485" width="2.7109375" style="1310" customWidth="1"/>
    <col min="7486" max="7486" width="2.85546875" style="1310" customWidth="1"/>
    <col min="7487" max="7487" width="2.7109375" style="1310" customWidth="1"/>
    <col min="7488" max="7488" width="3" style="1310" customWidth="1"/>
    <col min="7489" max="7504" width="2.7109375" style="1310" customWidth="1"/>
    <col min="7505" max="7505" width="4" style="1310" customWidth="1"/>
    <col min="7506" max="7511" width="2.7109375" style="1310" customWidth="1"/>
    <col min="7512" max="7522" width="7.28515625" style="1310" customWidth="1"/>
    <col min="7523" max="7734" width="11.42578125" style="1310"/>
    <col min="7735" max="7741" width="2.7109375" style="1310" customWidth="1"/>
    <col min="7742" max="7742" width="2.85546875" style="1310" customWidth="1"/>
    <col min="7743" max="7743" width="2.7109375" style="1310" customWidth="1"/>
    <col min="7744" max="7744" width="3" style="1310" customWidth="1"/>
    <col min="7745" max="7760" width="2.7109375" style="1310" customWidth="1"/>
    <col min="7761" max="7761" width="4" style="1310" customWidth="1"/>
    <col min="7762" max="7767" width="2.7109375" style="1310" customWidth="1"/>
    <col min="7768" max="7778" width="7.28515625" style="1310" customWidth="1"/>
    <col min="7779" max="7990" width="11.42578125" style="1310"/>
    <col min="7991" max="7997" width="2.7109375" style="1310" customWidth="1"/>
    <col min="7998" max="7998" width="2.85546875" style="1310" customWidth="1"/>
    <col min="7999" max="7999" width="2.7109375" style="1310" customWidth="1"/>
    <col min="8000" max="8000" width="3" style="1310" customWidth="1"/>
    <col min="8001" max="8016" width="2.7109375" style="1310" customWidth="1"/>
    <col min="8017" max="8017" width="4" style="1310" customWidth="1"/>
    <col min="8018" max="8023" width="2.7109375" style="1310" customWidth="1"/>
    <col min="8024" max="8034" width="7.28515625" style="1310" customWidth="1"/>
    <col min="8035" max="8246" width="11.42578125" style="1310"/>
    <col min="8247" max="8253" width="2.7109375" style="1310" customWidth="1"/>
    <col min="8254" max="8254" width="2.85546875" style="1310" customWidth="1"/>
    <col min="8255" max="8255" width="2.7109375" style="1310" customWidth="1"/>
    <col min="8256" max="8256" width="3" style="1310" customWidth="1"/>
    <col min="8257" max="8272" width="2.7109375" style="1310" customWidth="1"/>
    <col min="8273" max="8273" width="4" style="1310" customWidth="1"/>
    <col min="8274" max="8279" width="2.7109375" style="1310" customWidth="1"/>
    <col min="8280" max="8290" width="7.28515625" style="1310" customWidth="1"/>
    <col min="8291" max="8502" width="11.42578125" style="1310"/>
    <col min="8503" max="8509" width="2.7109375" style="1310" customWidth="1"/>
    <col min="8510" max="8510" width="2.85546875" style="1310" customWidth="1"/>
    <col min="8511" max="8511" width="2.7109375" style="1310" customWidth="1"/>
    <col min="8512" max="8512" width="3" style="1310" customWidth="1"/>
    <col min="8513" max="8528" width="2.7109375" style="1310" customWidth="1"/>
    <col min="8529" max="8529" width="4" style="1310" customWidth="1"/>
    <col min="8530" max="8535" width="2.7109375" style="1310" customWidth="1"/>
    <col min="8536" max="8546" width="7.28515625" style="1310" customWidth="1"/>
    <col min="8547" max="8758" width="11.42578125" style="1310"/>
    <col min="8759" max="8765" width="2.7109375" style="1310" customWidth="1"/>
    <col min="8766" max="8766" width="2.85546875" style="1310" customWidth="1"/>
    <col min="8767" max="8767" width="2.7109375" style="1310" customWidth="1"/>
    <col min="8768" max="8768" width="3" style="1310" customWidth="1"/>
    <col min="8769" max="8784" width="2.7109375" style="1310" customWidth="1"/>
    <col min="8785" max="8785" width="4" style="1310" customWidth="1"/>
    <col min="8786" max="8791" width="2.7109375" style="1310" customWidth="1"/>
    <col min="8792" max="8802" width="7.28515625" style="1310" customWidth="1"/>
    <col min="8803" max="9014" width="11.42578125" style="1310"/>
    <col min="9015" max="9021" width="2.7109375" style="1310" customWidth="1"/>
    <col min="9022" max="9022" width="2.85546875" style="1310" customWidth="1"/>
    <col min="9023" max="9023" width="2.7109375" style="1310" customWidth="1"/>
    <col min="9024" max="9024" width="3" style="1310" customWidth="1"/>
    <col min="9025" max="9040" width="2.7109375" style="1310" customWidth="1"/>
    <col min="9041" max="9041" width="4" style="1310" customWidth="1"/>
    <col min="9042" max="9047" width="2.7109375" style="1310" customWidth="1"/>
    <col min="9048" max="9058" width="7.28515625" style="1310" customWidth="1"/>
    <col min="9059" max="9270" width="11.42578125" style="1310"/>
    <col min="9271" max="9277" width="2.7109375" style="1310" customWidth="1"/>
    <col min="9278" max="9278" width="2.85546875" style="1310" customWidth="1"/>
    <col min="9279" max="9279" width="2.7109375" style="1310" customWidth="1"/>
    <col min="9280" max="9280" width="3" style="1310" customWidth="1"/>
    <col min="9281" max="9296" width="2.7109375" style="1310" customWidth="1"/>
    <col min="9297" max="9297" width="4" style="1310" customWidth="1"/>
    <col min="9298" max="9303" width="2.7109375" style="1310" customWidth="1"/>
    <col min="9304" max="9314" width="7.28515625" style="1310" customWidth="1"/>
    <col min="9315" max="9526" width="11.42578125" style="1310"/>
    <col min="9527" max="9533" width="2.7109375" style="1310" customWidth="1"/>
    <col min="9534" max="9534" width="2.85546875" style="1310" customWidth="1"/>
    <col min="9535" max="9535" width="2.7109375" style="1310" customWidth="1"/>
    <col min="9536" max="9536" width="3" style="1310" customWidth="1"/>
    <col min="9537" max="9552" width="2.7109375" style="1310" customWidth="1"/>
    <col min="9553" max="9553" width="4" style="1310" customWidth="1"/>
    <col min="9554" max="9559" width="2.7109375" style="1310" customWidth="1"/>
    <col min="9560" max="9570" width="7.28515625" style="1310" customWidth="1"/>
    <col min="9571" max="9782" width="11.42578125" style="1310"/>
    <col min="9783" max="9789" width="2.7109375" style="1310" customWidth="1"/>
    <col min="9790" max="9790" width="2.85546875" style="1310" customWidth="1"/>
    <col min="9791" max="9791" width="2.7109375" style="1310" customWidth="1"/>
    <col min="9792" max="9792" width="3" style="1310" customWidth="1"/>
    <col min="9793" max="9808" width="2.7109375" style="1310" customWidth="1"/>
    <col min="9809" max="9809" width="4" style="1310" customWidth="1"/>
    <col min="9810" max="9815" width="2.7109375" style="1310" customWidth="1"/>
    <col min="9816" max="9826" width="7.28515625" style="1310" customWidth="1"/>
    <col min="9827" max="10038" width="11.42578125" style="1310"/>
    <col min="10039" max="10045" width="2.7109375" style="1310" customWidth="1"/>
    <col min="10046" max="10046" width="2.85546875" style="1310" customWidth="1"/>
    <col min="10047" max="10047" width="2.7109375" style="1310" customWidth="1"/>
    <col min="10048" max="10048" width="3" style="1310" customWidth="1"/>
    <col min="10049" max="10064" width="2.7109375" style="1310" customWidth="1"/>
    <col min="10065" max="10065" width="4" style="1310" customWidth="1"/>
    <col min="10066" max="10071" width="2.7109375" style="1310" customWidth="1"/>
    <col min="10072" max="10082" width="7.28515625" style="1310" customWidth="1"/>
    <col min="10083" max="10294" width="11.42578125" style="1310"/>
    <col min="10295" max="10301" width="2.7109375" style="1310" customWidth="1"/>
    <col min="10302" max="10302" width="2.85546875" style="1310" customWidth="1"/>
    <col min="10303" max="10303" width="2.7109375" style="1310" customWidth="1"/>
    <col min="10304" max="10304" width="3" style="1310" customWidth="1"/>
    <col min="10305" max="10320" width="2.7109375" style="1310" customWidth="1"/>
    <col min="10321" max="10321" width="4" style="1310" customWidth="1"/>
    <col min="10322" max="10327" width="2.7109375" style="1310" customWidth="1"/>
    <col min="10328" max="10338" width="7.28515625" style="1310" customWidth="1"/>
    <col min="10339" max="10550" width="11.42578125" style="1310"/>
    <col min="10551" max="10557" width="2.7109375" style="1310" customWidth="1"/>
    <col min="10558" max="10558" width="2.85546875" style="1310" customWidth="1"/>
    <col min="10559" max="10559" width="2.7109375" style="1310" customWidth="1"/>
    <col min="10560" max="10560" width="3" style="1310" customWidth="1"/>
    <col min="10561" max="10576" width="2.7109375" style="1310" customWidth="1"/>
    <col min="10577" max="10577" width="4" style="1310" customWidth="1"/>
    <col min="10578" max="10583" width="2.7109375" style="1310" customWidth="1"/>
    <col min="10584" max="10594" width="7.28515625" style="1310" customWidth="1"/>
    <col min="10595" max="10806" width="11.42578125" style="1310"/>
    <col min="10807" max="10813" width="2.7109375" style="1310" customWidth="1"/>
    <col min="10814" max="10814" width="2.85546875" style="1310" customWidth="1"/>
    <col min="10815" max="10815" width="2.7109375" style="1310" customWidth="1"/>
    <col min="10816" max="10816" width="3" style="1310" customWidth="1"/>
    <col min="10817" max="10832" width="2.7109375" style="1310" customWidth="1"/>
    <col min="10833" max="10833" width="4" style="1310" customWidth="1"/>
    <col min="10834" max="10839" width="2.7109375" style="1310" customWidth="1"/>
    <col min="10840" max="10850" width="7.28515625" style="1310" customWidth="1"/>
    <col min="10851" max="11062" width="11.42578125" style="1310"/>
    <col min="11063" max="11069" width="2.7109375" style="1310" customWidth="1"/>
    <col min="11070" max="11070" width="2.85546875" style="1310" customWidth="1"/>
    <col min="11071" max="11071" width="2.7109375" style="1310" customWidth="1"/>
    <col min="11072" max="11072" width="3" style="1310" customWidth="1"/>
    <col min="11073" max="11088" width="2.7109375" style="1310" customWidth="1"/>
    <col min="11089" max="11089" width="4" style="1310" customWidth="1"/>
    <col min="11090" max="11095" width="2.7109375" style="1310" customWidth="1"/>
    <col min="11096" max="11106" width="7.28515625" style="1310" customWidth="1"/>
    <col min="11107" max="11318" width="11.42578125" style="1310"/>
    <col min="11319" max="11325" width="2.7109375" style="1310" customWidth="1"/>
    <col min="11326" max="11326" width="2.85546875" style="1310" customWidth="1"/>
    <col min="11327" max="11327" width="2.7109375" style="1310" customWidth="1"/>
    <col min="11328" max="11328" width="3" style="1310" customWidth="1"/>
    <col min="11329" max="11344" width="2.7109375" style="1310" customWidth="1"/>
    <col min="11345" max="11345" width="4" style="1310" customWidth="1"/>
    <col min="11346" max="11351" width="2.7109375" style="1310" customWidth="1"/>
    <col min="11352" max="11362" width="7.28515625" style="1310" customWidth="1"/>
    <col min="11363" max="11574" width="11.42578125" style="1310"/>
    <col min="11575" max="11581" width="2.7109375" style="1310" customWidth="1"/>
    <col min="11582" max="11582" width="2.85546875" style="1310" customWidth="1"/>
    <col min="11583" max="11583" width="2.7109375" style="1310" customWidth="1"/>
    <col min="11584" max="11584" width="3" style="1310" customWidth="1"/>
    <col min="11585" max="11600" width="2.7109375" style="1310" customWidth="1"/>
    <col min="11601" max="11601" width="4" style="1310" customWidth="1"/>
    <col min="11602" max="11607" width="2.7109375" style="1310" customWidth="1"/>
    <col min="11608" max="11618" width="7.28515625" style="1310" customWidth="1"/>
    <col min="11619" max="11830" width="11.42578125" style="1310"/>
    <col min="11831" max="11837" width="2.7109375" style="1310" customWidth="1"/>
    <col min="11838" max="11838" width="2.85546875" style="1310" customWidth="1"/>
    <col min="11839" max="11839" width="2.7109375" style="1310" customWidth="1"/>
    <col min="11840" max="11840" width="3" style="1310" customWidth="1"/>
    <col min="11841" max="11856" width="2.7109375" style="1310" customWidth="1"/>
    <col min="11857" max="11857" width="4" style="1310" customWidth="1"/>
    <col min="11858" max="11863" width="2.7109375" style="1310" customWidth="1"/>
    <col min="11864" max="11874" width="7.28515625" style="1310" customWidth="1"/>
    <col min="11875" max="12086" width="11.42578125" style="1310"/>
    <col min="12087" max="12093" width="2.7109375" style="1310" customWidth="1"/>
    <col min="12094" max="12094" width="2.85546875" style="1310" customWidth="1"/>
    <col min="12095" max="12095" width="2.7109375" style="1310" customWidth="1"/>
    <col min="12096" max="12096" width="3" style="1310" customWidth="1"/>
    <col min="12097" max="12112" width="2.7109375" style="1310" customWidth="1"/>
    <col min="12113" max="12113" width="4" style="1310" customWidth="1"/>
    <col min="12114" max="12119" width="2.7109375" style="1310" customWidth="1"/>
    <col min="12120" max="12130" width="7.28515625" style="1310" customWidth="1"/>
    <col min="12131" max="12342" width="11.42578125" style="1310"/>
    <col min="12343" max="12349" width="2.7109375" style="1310" customWidth="1"/>
    <col min="12350" max="12350" width="2.85546875" style="1310" customWidth="1"/>
    <col min="12351" max="12351" width="2.7109375" style="1310" customWidth="1"/>
    <col min="12352" max="12352" width="3" style="1310" customWidth="1"/>
    <col min="12353" max="12368" width="2.7109375" style="1310" customWidth="1"/>
    <col min="12369" max="12369" width="4" style="1310" customWidth="1"/>
    <col min="12370" max="12375" width="2.7109375" style="1310" customWidth="1"/>
    <col min="12376" max="12386" width="7.28515625" style="1310" customWidth="1"/>
    <col min="12387" max="12598" width="11.42578125" style="1310"/>
    <col min="12599" max="12605" width="2.7109375" style="1310" customWidth="1"/>
    <col min="12606" max="12606" width="2.85546875" style="1310" customWidth="1"/>
    <col min="12607" max="12607" width="2.7109375" style="1310" customWidth="1"/>
    <col min="12608" max="12608" width="3" style="1310" customWidth="1"/>
    <col min="12609" max="12624" width="2.7109375" style="1310" customWidth="1"/>
    <col min="12625" max="12625" width="4" style="1310" customWidth="1"/>
    <col min="12626" max="12631" width="2.7109375" style="1310" customWidth="1"/>
    <col min="12632" max="12642" width="7.28515625" style="1310" customWidth="1"/>
    <col min="12643" max="12854" width="11.42578125" style="1310"/>
    <col min="12855" max="12861" width="2.7109375" style="1310" customWidth="1"/>
    <col min="12862" max="12862" width="2.85546875" style="1310" customWidth="1"/>
    <col min="12863" max="12863" width="2.7109375" style="1310" customWidth="1"/>
    <col min="12864" max="12864" width="3" style="1310" customWidth="1"/>
    <col min="12865" max="12880" width="2.7109375" style="1310" customWidth="1"/>
    <col min="12881" max="12881" width="4" style="1310" customWidth="1"/>
    <col min="12882" max="12887" width="2.7109375" style="1310" customWidth="1"/>
    <col min="12888" max="12898" width="7.28515625" style="1310" customWidth="1"/>
    <col min="12899" max="13110" width="11.42578125" style="1310"/>
    <col min="13111" max="13117" width="2.7109375" style="1310" customWidth="1"/>
    <col min="13118" max="13118" width="2.85546875" style="1310" customWidth="1"/>
    <col min="13119" max="13119" width="2.7109375" style="1310" customWidth="1"/>
    <col min="13120" max="13120" width="3" style="1310" customWidth="1"/>
    <col min="13121" max="13136" width="2.7109375" style="1310" customWidth="1"/>
    <col min="13137" max="13137" width="4" style="1310" customWidth="1"/>
    <col min="13138" max="13143" width="2.7109375" style="1310" customWidth="1"/>
    <col min="13144" max="13154" width="7.28515625" style="1310" customWidth="1"/>
    <col min="13155" max="13366" width="11.42578125" style="1310"/>
    <col min="13367" max="13373" width="2.7109375" style="1310" customWidth="1"/>
    <col min="13374" max="13374" width="2.85546875" style="1310" customWidth="1"/>
    <col min="13375" max="13375" width="2.7109375" style="1310" customWidth="1"/>
    <col min="13376" max="13376" width="3" style="1310" customWidth="1"/>
    <col min="13377" max="13392" width="2.7109375" style="1310" customWidth="1"/>
    <col min="13393" max="13393" width="4" style="1310" customWidth="1"/>
    <col min="13394" max="13399" width="2.7109375" style="1310" customWidth="1"/>
    <col min="13400" max="13410" width="7.28515625" style="1310" customWidth="1"/>
    <col min="13411" max="13622" width="11.42578125" style="1310"/>
    <col min="13623" max="13629" width="2.7109375" style="1310" customWidth="1"/>
    <col min="13630" max="13630" width="2.85546875" style="1310" customWidth="1"/>
    <col min="13631" max="13631" width="2.7109375" style="1310" customWidth="1"/>
    <col min="13632" max="13632" width="3" style="1310" customWidth="1"/>
    <col min="13633" max="13648" width="2.7109375" style="1310" customWidth="1"/>
    <col min="13649" max="13649" width="4" style="1310" customWidth="1"/>
    <col min="13650" max="13655" width="2.7109375" style="1310" customWidth="1"/>
    <col min="13656" max="13666" width="7.28515625" style="1310" customWidth="1"/>
    <col min="13667" max="13878" width="11.42578125" style="1310"/>
    <col min="13879" max="13885" width="2.7109375" style="1310" customWidth="1"/>
    <col min="13886" max="13886" width="2.85546875" style="1310" customWidth="1"/>
    <col min="13887" max="13887" width="2.7109375" style="1310" customWidth="1"/>
    <col min="13888" max="13888" width="3" style="1310" customWidth="1"/>
    <col min="13889" max="13904" width="2.7109375" style="1310" customWidth="1"/>
    <col min="13905" max="13905" width="4" style="1310" customWidth="1"/>
    <col min="13906" max="13911" width="2.7109375" style="1310" customWidth="1"/>
    <col min="13912" max="13922" width="7.28515625" style="1310" customWidth="1"/>
    <col min="13923" max="14134" width="11.42578125" style="1310"/>
    <col min="14135" max="14141" width="2.7109375" style="1310" customWidth="1"/>
    <col min="14142" max="14142" width="2.85546875" style="1310" customWidth="1"/>
    <col min="14143" max="14143" width="2.7109375" style="1310" customWidth="1"/>
    <col min="14144" max="14144" width="3" style="1310" customWidth="1"/>
    <col min="14145" max="14160" width="2.7109375" style="1310" customWidth="1"/>
    <col min="14161" max="14161" width="4" style="1310" customWidth="1"/>
    <col min="14162" max="14167" width="2.7109375" style="1310" customWidth="1"/>
    <col min="14168" max="14178" width="7.28515625" style="1310" customWidth="1"/>
    <col min="14179" max="14390" width="11.42578125" style="1310"/>
    <col min="14391" max="14397" width="2.7109375" style="1310" customWidth="1"/>
    <col min="14398" max="14398" width="2.85546875" style="1310" customWidth="1"/>
    <col min="14399" max="14399" width="2.7109375" style="1310" customWidth="1"/>
    <col min="14400" max="14400" width="3" style="1310" customWidth="1"/>
    <col min="14401" max="14416" width="2.7109375" style="1310" customWidth="1"/>
    <col min="14417" max="14417" width="4" style="1310" customWidth="1"/>
    <col min="14418" max="14423" width="2.7109375" style="1310" customWidth="1"/>
    <col min="14424" max="14434" width="7.28515625" style="1310" customWidth="1"/>
    <col min="14435" max="14646" width="11.42578125" style="1310"/>
    <col min="14647" max="14653" width="2.7109375" style="1310" customWidth="1"/>
    <col min="14654" max="14654" width="2.85546875" style="1310" customWidth="1"/>
    <col min="14655" max="14655" width="2.7109375" style="1310" customWidth="1"/>
    <col min="14656" max="14656" width="3" style="1310" customWidth="1"/>
    <col min="14657" max="14672" width="2.7109375" style="1310" customWidth="1"/>
    <col min="14673" max="14673" width="4" style="1310" customWidth="1"/>
    <col min="14674" max="14679" width="2.7109375" style="1310" customWidth="1"/>
    <col min="14680" max="14690" width="7.28515625" style="1310" customWidth="1"/>
    <col min="14691" max="14902" width="11.42578125" style="1310"/>
    <col min="14903" max="14909" width="2.7109375" style="1310" customWidth="1"/>
    <col min="14910" max="14910" width="2.85546875" style="1310" customWidth="1"/>
    <col min="14911" max="14911" width="2.7109375" style="1310" customWidth="1"/>
    <col min="14912" max="14912" width="3" style="1310" customWidth="1"/>
    <col min="14913" max="14928" width="2.7109375" style="1310" customWidth="1"/>
    <col min="14929" max="14929" width="4" style="1310" customWidth="1"/>
    <col min="14930" max="14935" width="2.7109375" style="1310" customWidth="1"/>
    <col min="14936" max="14946" width="7.28515625" style="1310" customWidth="1"/>
    <col min="14947" max="15158" width="11.42578125" style="1310"/>
    <col min="15159" max="15165" width="2.7109375" style="1310" customWidth="1"/>
    <col min="15166" max="15166" width="2.85546875" style="1310" customWidth="1"/>
    <col min="15167" max="15167" width="2.7109375" style="1310" customWidth="1"/>
    <col min="15168" max="15168" width="3" style="1310" customWidth="1"/>
    <col min="15169" max="15184" width="2.7109375" style="1310" customWidth="1"/>
    <col min="15185" max="15185" width="4" style="1310" customWidth="1"/>
    <col min="15186" max="15191" width="2.7109375" style="1310" customWidth="1"/>
    <col min="15192" max="15202" width="7.28515625" style="1310" customWidth="1"/>
    <col min="15203" max="15414" width="11.42578125" style="1310"/>
    <col min="15415" max="15421" width="2.7109375" style="1310" customWidth="1"/>
    <col min="15422" max="15422" width="2.85546875" style="1310" customWidth="1"/>
    <col min="15423" max="15423" width="2.7109375" style="1310" customWidth="1"/>
    <col min="15424" max="15424" width="3" style="1310" customWidth="1"/>
    <col min="15425" max="15440" width="2.7109375" style="1310" customWidth="1"/>
    <col min="15441" max="15441" width="4" style="1310" customWidth="1"/>
    <col min="15442" max="15447" width="2.7109375" style="1310" customWidth="1"/>
    <col min="15448" max="15458" width="7.28515625" style="1310" customWidth="1"/>
    <col min="15459" max="15670" width="11.42578125" style="1310"/>
    <col min="15671" max="15677" width="2.7109375" style="1310" customWidth="1"/>
    <col min="15678" max="15678" width="2.85546875" style="1310" customWidth="1"/>
    <col min="15679" max="15679" width="2.7109375" style="1310" customWidth="1"/>
    <col min="15680" max="15680" width="3" style="1310" customWidth="1"/>
    <col min="15681" max="15696" width="2.7109375" style="1310" customWidth="1"/>
    <col min="15697" max="15697" width="4" style="1310" customWidth="1"/>
    <col min="15698" max="15703" width="2.7109375" style="1310" customWidth="1"/>
    <col min="15704" max="15714" width="7.28515625" style="1310" customWidth="1"/>
    <col min="15715" max="15926" width="11.42578125" style="1310"/>
    <col min="15927" max="15933" width="2.7109375" style="1310" customWidth="1"/>
    <col min="15934" max="15934" width="2.85546875" style="1310" customWidth="1"/>
    <col min="15935" max="15935" width="2.7109375" style="1310" customWidth="1"/>
    <col min="15936" max="15936" width="3" style="1310" customWidth="1"/>
    <col min="15937" max="15952" width="2.7109375" style="1310" customWidth="1"/>
    <col min="15953" max="15953" width="4" style="1310" customWidth="1"/>
    <col min="15954" max="15959" width="2.7109375" style="1310" customWidth="1"/>
    <col min="15960" max="15970" width="7.28515625" style="1310" customWidth="1"/>
    <col min="15971" max="16182" width="11.42578125" style="1310"/>
    <col min="16183" max="16189" width="2.7109375" style="1310" customWidth="1"/>
    <col min="16190" max="16190" width="2.85546875" style="1310" customWidth="1"/>
    <col min="16191" max="16191" width="2.7109375" style="1310" customWidth="1"/>
    <col min="16192" max="16192" width="3" style="1310" customWidth="1"/>
    <col min="16193" max="16208" width="2.7109375" style="1310" customWidth="1"/>
    <col min="16209" max="16209" width="4" style="1310" customWidth="1"/>
    <col min="16210" max="16215" width="2.7109375" style="1310" customWidth="1"/>
    <col min="16216" max="16226" width="7.28515625" style="1310" customWidth="1"/>
    <col min="16227" max="16384" width="11.42578125" style="1310"/>
  </cols>
  <sheetData>
    <row r="1" spans="1:112" ht="15" customHeight="1">
      <c r="A1" s="1976"/>
      <c r="B1" s="1977"/>
      <c r="C1" s="1977"/>
      <c r="D1" s="1977"/>
      <c r="E1" s="1977"/>
      <c r="F1" s="1977"/>
      <c r="G1" s="1977"/>
      <c r="H1" s="1977"/>
      <c r="I1" s="1978"/>
      <c r="J1" s="1985" t="s">
        <v>9</v>
      </c>
      <c r="K1" s="1986"/>
      <c r="L1" s="1986"/>
      <c r="M1" s="1986"/>
      <c r="N1" s="1986"/>
      <c r="O1" s="1986"/>
      <c r="P1" s="1986"/>
      <c r="Q1" s="1986"/>
      <c r="R1" s="1986"/>
      <c r="S1" s="1986"/>
      <c r="T1" s="1986"/>
      <c r="U1" s="1986"/>
      <c r="V1" s="1986"/>
      <c r="W1" s="1986"/>
      <c r="X1" s="1986"/>
      <c r="Y1" s="1986"/>
      <c r="Z1" s="1986"/>
      <c r="AA1" s="1986"/>
      <c r="AB1" s="1986"/>
      <c r="AC1" s="1986"/>
      <c r="AD1" s="1986"/>
      <c r="AE1" s="1986"/>
      <c r="AF1" s="1987"/>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68" t="s">
        <v>521</v>
      </c>
    </row>
    <row r="2" spans="1:112" ht="15" customHeight="1">
      <c r="A2" s="1979"/>
      <c r="B2" s="1980"/>
      <c r="C2" s="1980"/>
      <c r="D2" s="1980"/>
      <c r="E2" s="1980"/>
      <c r="F2" s="1980"/>
      <c r="G2" s="1980"/>
      <c r="H2" s="1980"/>
      <c r="I2" s="1981"/>
      <c r="J2" s="1988" t="s">
        <v>7</v>
      </c>
      <c r="K2" s="1989"/>
      <c r="L2" s="1989"/>
      <c r="M2" s="1989"/>
      <c r="N2" s="1989"/>
      <c r="O2" s="1989"/>
      <c r="P2" s="1989"/>
      <c r="Q2" s="1989"/>
      <c r="R2" s="1989"/>
      <c r="S2" s="1989"/>
      <c r="T2" s="1989"/>
      <c r="U2" s="1989"/>
      <c r="V2" s="1989"/>
      <c r="W2" s="1989"/>
      <c r="X2" s="1989"/>
      <c r="Y2" s="1989"/>
      <c r="Z2" s="1989"/>
      <c r="AA2" s="1989"/>
      <c r="AB2" s="1989"/>
      <c r="AC2" s="1989"/>
      <c r="AD2" s="1989"/>
      <c r="AE2" s="1989"/>
      <c r="AF2" s="1990"/>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68" t="s">
        <v>461</v>
      </c>
    </row>
    <row r="3" spans="1:112" ht="15" customHeight="1">
      <c r="A3" s="1979"/>
      <c r="B3" s="1980"/>
      <c r="C3" s="1980"/>
      <c r="D3" s="1980"/>
      <c r="E3" s="1980"/>
      <c r="F3" s="1980"/>
      <c r="G3" s="1980"/>
      <c r="H3" s="1980"/>
      <c r="I3" s="1981"/>
      <c r="J3" s="1991" t="s">
        <v>583</v>
      </c>
      <c r="K3" s="1992"/>
      <c r="L3" s="1992"/>
      <c r="M3" s="1992"/>
      <c r="N3" s="1992"/>
      <c r="O3" s="1992"/>
      <c r="P3" s="1992"/>
      <c r="Q3" s="1992"/>
      <c r="R3" s="1992"/>
      <c r="S3" s="1992"/>
      <c r="T3" s="1992"/>
      <c r="U3" s="1992"/>
      <c r="V3" s="1992"/>
      <c r="W3" s="1992"/>
      <c r="X3" s="1992"/>
      <c r="Y3" s="1992"/>
      <c r="Z3" s="1992"/>
      <c r="AA3" s="1992"/>
      <c r="AB3" s="1992"/>
      <c r="AC3" s="1992"/>
      <c r="AD3" s="1992"/>
      <c r="AE3" s="1992"/>
      <c r="AF3" s="199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68" t="s">
        <v>30</v>
      </c>
    </row>
    <row r="4" spans="1:112" ht="12.95" customHeight="1">
      <c r="A4" s="1979"/>
      <c r="B4" s="1980"/>
      <c r="C4" s="1980"/>
      <c r="D4" s="1980"/>
      <c r="E4" s="1980"/>
      <c r="F4" s="1980"/>
      <c r="G4" s="1980"/>
      <c r="H4" s="1980"/>
      <c r="I4" s="1981"/>
      <c r="J4" s="1994" t="s">
        <v>802</v>
      </c>
      <c r="K4" s="1995"/>
      <c r="L4" s="1995"/>
      <c r="M4" s="1995"/>
      <c r="N4" s="1995"/>
      <c r="O4" s="1995"/>
      <c r="P4" s="1995"/>
      <c r="Q4" s="1995"/>
      <c r="R4" s="1995"/>
      <c r="S4" s="1995"/>
      <c r="T4" s="1995"/>
      <c r="U4" s="1996"/>
      <c r="V4" s="1997" t="s">
        <v>803</v>
      </c>
      <c r="W4" s="1998"/>
      <c r="X4" s="1998"/>
      <c r="Y4" s="1998"/>
      <c r="Z4" s="1998"/>
      <c r="AA4" s="1998"/>
      <c r="AB4" s="1998"/>
      <c r="AC4" s="1998"/>
      <c r="AD4" s="1998"/>
      <c r="AE4" s="1998"/>
      <c r="AF4" s="1999"/>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68" t="s">
        <v>29</v>
      </c>
      <c r="BJ4" s="336"/>
    </row>
    <row r="5" spans="1:112" ht="12.95" customHeight="1">
      <c r="A5" s="1982"/>
      <c r="B5" s="1983"/>
      <c r="C5" s="1983"/>
      <c r="D5" s="1983"/>
      <c r="E5" s="1983"/>
      <c r="F5" s="1983"/>
      <c r="G5" s="1983"/>
      <c r="H5" s="1983"/>
      <c r="I5" s="1984"/>
      <c r="J5" s="2000" t="s">
        <v>804</v>
      </c>
      <c r="K5" s="2001"/>
      <c r="L5" s="2001"/>
      <c r="M5" s="2001"/>
      <c r="N5" s="2001"/>
      <c r="O5" s="2001"/>
      <c r="P5" s="2001"/>
      <c r="Q5" s="2001"/>
      <c r="R5" s="2001"/>
      <c r="S5" s="2001"/>
      <c r="T5" s="2001"/>
      <c r="U5" s="2001"/>
      <c r="V5" s="2001"/>
      <c r="W5" s="2001"/>
      <c r="X5" s="2001"/>
      <c r="Y5" s="2001"/>
      <c r="Z5" s="2001"/>
      <c r="AA5" s="2001"/>
      <c r="AB5" s="2001"/>
      <c r="AC5" s="2001"/>
      <c r="AD5" s="2001"/>
      <c r="AE5" s="2001"/>
      <c r="AF5" s="2002"/>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68" t="s">
        <v>462</v>
      </c>
    </row>
    <row r="6" spans="1:112" ht="14.1" customHeight="1">
      <c r="A6" s="1880" t="s">
        <v>5</v>
      </c>
      <c r="B6" s="1881"/>
      <c r="C6" s="1881"/>
      <c r="D6" s="1881"/>
      <c r="E6" s="1884"/>
      <c r="F6" s="1884"/>
      <c r="G6" s="1884"/>
      <c r="H6" s="1884"/>
      <c r="I6" s="1884"/>
      <c r="J6" s="1884"/>
      <c r="K6" s="1884"/>
      <c r="L6" s="1884"/>
      <c r="M6" s="1884"/>
      <c r="N6" s="1884"/>
      <c r="O6" s="1884"/>
      <c r="P6" s="1884"/>
      <c r="Q6" s="1884"/>
      <c r="R6" s="1884"/>
      <c r="S6" s="1884"/>
      <c r="T6" s="1884"/>
      <c r="U6" s="1884"/>
      <c r="V6" s="2005" t="s">
        <v>324</v>
      </c>
      <c r="W6" s="2005"/>
      <c r="X6" s="2005"/>
      <c r="Y6" s="2005"/>
      <c r="Z6" s="2005"/>
      <c r="AA6" s="2005"/>
      <c r="AB6" s="2006"/>
      <c r="AC6" s="2006"/>
      <c r="AD6" s="2006"/>
      <c r="AE6" s="2006"/>
      <c r="AF6" s="2007"/>
      <c r="AG6" s="338"/>
      <c r="AH6" s="338"/>
      <c r="AI6" s="338"/>
      <c r="AJ6" s="338"/>
      <c r="AK6" s="338"/>
      <c r="AL6" s="338"/>
      <c r="AM6" s="338"/>
      <c r="AN6" s="338"/>
      <c r="AO6" s="338"/>
      <c r="AP6" s="338"/>
      <c r="AQ6" s="338"/>
      <c r="AR6" s="338"/>
      <c r="AS6" s="338"/>
      <c r="AT6" s="338"/>
      <c r="AU6" s="338"/>
      <c r="AV6" s="338"/>
      <c r="AW6" s="338"/>
      <c r="AX6" s="338"/>
      <c r="AY6" s="338"/>
      <c r="AZ6" s="338"/>
      <c r="BA6" s="338"/>
      <c r="BB6" s="338"/>
      <c r="BC6" s="338"/>
      <c r="BD6" s="338"/>
      <c r="BE6" s="338"/>
      <c r="BF6" s="338"/>
      <c r="BG6" s="338"/>
      <c r="BH6" s="338"/>
      <c r="BI6" s="368" t="s">
        <v>463</v>
      </c>
    </row>
    <row r="7" spans="1:112" s="341" customFormat="1" ht="14.1" customHeight="1">
      <c r="A7" s="1836" t="s">
        <v>39</v>
      </c>
      <c r="B7" s="1573"/>
      <c r="C7" s="1573"/>
      <c r="D7" s="1359"/>
      <c r="E7" s="1570"/>
      <c r="F7" s="1570"/>
      <c r="G7" s="1570"/>
      <c r="H7" s="1570"/>
      <c r="I7" s="1570"/>
      <c r="J7" s="1570"/>
      <c r="K7" s="1573" t="s">
        <v>18</v>
      </c>
      <c r="L7" s="1573"/>
      <c r="M7" s="1573"/>
      <c r="N7" s="1573"/>
      <c r="O7" s="1886"/>
      <c r="P7" s="1886"/>
      <c r="Q7" s="1886"/>
      <c r="R7" s="1886"/>
      <c r="S7" s="1886"/>
      <c r="T7" s="1886"/>
      <c r="U7" s="1886"/>
      <c r="V7" s="1573" t="s">
        <v>40</v>
      </c>
      <c r="W7" s="1573"/>
      <c r="X7" s="1573"/>
      <c r="Y7" s="1573"/>
      <c r="Z7" s="1573"/>
      <c r="AA7" s="1573"/>
      <c r="AB7" s="1887"/>
      <c r="AC7" s="1887"/>
      <c r="AD7" s="1887"/>
      <c r="AE7" s="1887"/>
      <c r="AF7" s="1888"/>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68" t="s">
        <v>464</v>
      </c>
      <c r="BJ7" s="340"/>
      <c r="BL7" s="342"/>
      <c r="BM7" s="342"/>
      <c r="BN7" s="342"/>
      <c r="BO7" s="342"/>
      <c r="BP7" s="342"/>
      <c r="BQ7" s="342"/>
      <c r="BR7" s="342"/>
      <c r="BS7" s="342"/>
      <c r="BT7" s="342"/>
      <c r="BU7" s="342"/>
      <c r="BV7" s="342"/>
      <c r="BW7" s="342"/>
      <c r="BX7" s="342"/>
      <c r="BY7" s="342"/>
      <c r="BZ7" s="342"/>
      <c r="CA7" s="342"/>
      <c r="CB7" s="342"/>
      <c r="CC7" s="342"/>
      <c r="CD7" s="342"/>
      <c r="CE7" s="342"/>
      <c r="CF7" s="342"/>
      <c r="CG7" s="342"/>
      <c r="CH7" s="342"/>
      <c r="CI7" s="970"/>
      <c r="CJ7" s="970"/>
      <c r="CK7" s="970"/>
      <c r="CL7" s="970"/>
      <c r="CM7" s="970"/>
      <c r="CN7" s="970"/>
      <c r="CO7" s="970"/>
      <c r="CP7" s="970"/>
      <c r="CQ7" s="970"/>
      <c r="CR7" s="970"/>
      <c r="CS7" s="970"/>
      <c r="CT7" s="970"/>
      <c r="CU7" s="970"/>
      <c r="CV7" s="970"/>
      <c r="CW7" s="970"/>
      <c r="CX7" s="970"/>
      <c r="CY7" s="970"/>
      <c r="CZ7" s="970"/>
      <c r="DA7" s="970"/>
      <c r="DB7" s="970"/>
      <c r="DC7" s="970"/>
      <c r="DD7" s="970"/>
      <c r="DE7" s="970"/>
      <c r="DF7" s="970"/>
      <c r="DG7" s="970"/>
      <c r="DH7" s="970"/>
    </row>
    <row r="8" spans="1:112" s="341" customFormat="1" ht="14.1" customHeight="1">
      <c r="A8" s="1568" t="s">
        <v>755</v>
      </c>
      <c r="B8" s="1569"/>
      <c r="C8" s="1569"/>
      <c r="D8" s="1569"/>
      <c r="E8" s="1570"/>
      <c r="F8" s="1570"/>
      <c r="G8" s="1570"/>
      <c r="H8" s="1570"/>
      <c r="I8" s="1570"/>
      <c r="J8" s="1570"/>
      <c r="K8" s="1573" t="s">
        <v>19</v>
      </c>
      <c r="L8" s="1573"/>
      <c r="M8" s="1573"/>
      <c r="N8" s="1573"/>
      <c r="O8" s="1886"/>
      <c r="P8" s="1886"/>
      <c r="Q8" s="1886"/>
      <c r="R8" s="1886"/>
      <c r="S8" s="1886"/>
      <c r="T8" s="1886"/>
      <c r="U8" s="1886"/>
      <c r="V8" s="1573" t="s">
        <v>407</v>
      </c>
      <c r="W8" s="1573"/>
      <c r="X8" s="1573"/>
      <c r="Y8" s="1573"/>
      <c r="Z8" s="1573"/>
      <c r="AA8" s="1573"/>
      <c r="AB8" s="2003"/>
      <c r="AC8" s="2003"/>
      <c r="AD8" s="2003"/>
      <c r="AE8" s="2003"/>
      <c r="AF8" s="2004"/>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341" t="s">
        <v>522</v>
      </c>
      <c r="BJ8" s="5"/>
      <c r="BL8" s="5"/>
      <c r="BM8" s="5"/>
      <c r="BN8" s="5"/>
      <c r="BO8" s="5"/>
      <c r="BP8" s="5"/>
      <c r="BQ8" s="5"/>
      <c r="BR8" s="5"/>
      <c r="BS8" s="5"/>
      <c r="BT8" s="5"/>
      <c r="BU8" s="5"/>
      <c r="BV8" s="5"/>
      <c r="BW8" s="5"/>
      <c r="BX8" s="5"/>
      <c r="BY8" s="5"/>
      <c r="BZ8" s="5"/>
      <c r="CA8" s="5"/>
      <c r="CB8" s="5"/>
      <c r="CC8" s="5"/>
      <c r="CD8" s="5"/>
      <c r="CE8" s="5"/>
      <c r="CF8" s="5"/>
      <c r="CG8" s="5"/>
      <c r="CH8" s="5"/>
      <c r="CI8" s="970"/>
      <c r="CJ8" s="970"/>
      <c r="CK8" s="970"/>
      <c r="CL8" s="970"/>
      <c r="CM8" s="970"/>
      <c r="CN8" s="970"/>
      <c r="CO8" s="970"/>
      <c r="CP8" s="970"/>
      <c r="CQ8" s="970"/>
      <c r="CR8" s="970"/>
      <c r="CS8" s="970"/>
      <c r="CT8" s="970"/>
      <c r="CU8" s="970"/>
      <c r="CV8" s="970"/>
      <c r="CW8" s="970"/>
      <c r="CX8" s="970"/>
      <c r="CY8" s="970"/>
      <c r="CZ8" s="970"/>
      <c r="DA8" s="970"/>
      <c r="DB8" s="970"/>
      <c r="DC8" s="970"/>
      <c r="DD8" s="970"/>
      <c r="DE8" s="970"/>
      <c r="DF8" s="970"/>
      <c r="DG8" s="970"/>
      <c r="DH8" s="970"/>
    </row>
    <row r="9" spans="1:112" s="341" customFormat="1" ht="14.1" customHeight="1">
      <c r="A9" s="1882" t="s">
        <v>6</v>
      </c>
      <c r="B9" s="1883"/>
      <c r="C9" s="1883"/>
      <c r="D9" s="1883"/>
      <c r="E9" s="1885"/>
      <c r="F9" s="1885"/>
      <c r="G9" s="1885"/>
      <c r="H9" s="1885"/>
      <c r="I9" s="1885"/>
      <c r="J9" s="1885"/>
      <c r="K9" s="1885"/>
      <c r="L9" s="1885"/>
      <c r="M9" s="1885"/>
      <c r="N9" s="1885"/>
      <c r="O9" s="1885"/>
      <c r="P9" s="1885"/>
      <c r="Q9" s="1885"/>
      <c r="R9" s="1885"/>
      <c r="S9" s="1885"/>
      <c r="T9" s="1885"/>
      <c r="U9" s="1885"/>
      <c r="V9" s="1889" t="s">
        <v>633</v>
      </c>
      <c r="W9" s="1889"/>
      <c r="X9" s="1889"/>
      <c r="Y9" s="1889"/>
      <c r="Z9" s="1889"/>
      <c r="AA9" s="1889"/>
      <c r="AB9" s="1878"/>
      <c r="AC9" s="1878"/>
      <c r="AD9" s="1878"/>
      <c r="AE9" s="1878"/>
      <c r="AF9" s="1879"/>
      <c r="BL9" s="342"/>
      <c r="BM9" s="342"/>
      <c r="BN9" s="342"/>
      <c r="BO9" s="342"/>
      <c r="BP9" s="342"/>
      <c r="BQ9" s="342"/>
      <c r="BR9" s="342"/>
      <c r="BS9" s="342"/>
      <c r="BT9" s="342"/>
      <c r="BU9" s="342"/>
      <c r="BV9" s="342"/>
      <c r="BW9" s="342"/>
      <c r="BX9" s="342"/>
      <c r="BY9" s="342"/>
      <c r="BZ9" s="342"/>
      <c r="CA9" s="342"/>
      <c r="CB9" s="342"/>
      <c r="CC9" s="342"/>
      <c r="CD9" s="342"/>
      <c r="CE9" s="342"/>
      <c r="CF9" s="342"/>
      <c r="CG9" s="342"/>
      <c r="CH9" s="342"/>
      <c r="CI9" s="970"/>
      <c r="CJ9" s="970"/>
      <c r="CK9" s="970"/>
      <c r="CL9" s="970"/>
      <c r="CM9" s="970"/>
      <c r="CN9" s="970"/>
      <c r="CO9" s="970"/>
      <c r="CP9" s="970"/>
      <c r="CQ9" s="970"/>
      <c r="CR9" s="970"/>
      <c r="CS9" s="970"/>
      <c r="CT9" s="970"/>
      <c r="CU9" s="970"/>
      <c r="CV9" s="970"/>
      <c r="CW9" s="970"/>
      <c r="CX9" s="970"/>
      <c r="CY9" s="970"/>
      <c r="CZ9" s="970"/>
      <c r="DA9" s="970"/>
      <c r="DB9" s="970"/>
      <c r="DC9" s="970"/>
      <c r="DD9" s="970"/>
      <c r="DE9" s="970"/>
      <c r="DF9" s="970"/>
      <c r="DG9" s="970"/>
      <c r="DH9" s="970"/>
    </row>
    <row r="10" spans="1:112" s="341" customFormat="1" ht="11.25" customHeight="1">
      <c r="A10" s="1837" t="s">
        <v>544</v>
      </c>
      <c r="B10" s="1838"/>
      <c r="C10" s="1838"/>
      <c r="D10" s="1838"/>
      <c r="E10" s="1838"/>
      <c r="F10" s="1838"/>
      <c r="G10" s="1839" t="str">
        <f>IF(X10="","",VLOOKUP(X10,BI35:BN61,4,0))</f>
        <v/>
      </c>
      <c r="H10" s="1839"/>
      <c r="I10" s="1839"/>
      <c r="J10" s="1839"/>
      <c r="K10" s="1839"/>
      <c r="L10" s="1839"/>
      <c r="M10" s="1839"/>
      <c r="N10" s="1839"/>
      <c r="O10" s="1839"/>
      <c r="P10" s="1839"/>
      <c r="Q10" s="1839"/>
      <c r="R10" s="1839"/>
      <c r="S10" s="1839"/>
      <c r="T10" s="1839"/>
      <c r="U10" s="1839"/>
      <c r="V10" s="1839"/>
      <c r="W10" s="1839"/>
      <c r="X10" s="1840"/>
      <c r="Y10" s="1840"/>
      <c r="Z10" s="1840"/>
      <c r="AA10" s="1840"/>
      <c r="AB10" s="1840"/>
      <c r="AC10" s="1840"/>
      <c r="AD10" s="1840"/>
      <c r="AE10" s="1840"/>
      <c r="AF10" s="1841"/>
      <c r="AG10" s="926" t="s">
        <v>626</v>
      </c>
      <c r="AH10" s="926"/>
      <c r="AI10" s="926"/>
      <c r="AJ10" s="926"/>
      <c r="AK10" s="926"/>
      <c r="AL10" s="926"/>
      <c r="AM10" s="926"/>
      <c r="AN10" s="926"/>
      <c r="AO10" s="926"/>
      <c r="AP10" s="926"/>
      <c r="AQ10" s="926"/>
      <c r="AR10" s="926"/>
      <c r="AS10" s="926"/>
      <c r="AT10" s="926"/>
      <c r="AU10" s="926"/>
      <c r="AV10" s="926"/>
      <c r="AW10" s="926"/>
      <c r="AX10" s="926"/>
      <c r="AY10" s="926"/>
      <c r="AZ10" s="926"/>
      <c r="BA10" s="926"/>
      <c r="BB10" s="926"/>
      <c r="BC10" s="926"/>
      <c r="BD10" s="926"/>
      <c r="BE10" s="926"/>
      <c r="BF10" s="926"/>
      <c r="BG10" s="926"/>
      <c r="BH10" s="926"/>
      <c r="BJ10" s="340"/>
      <c r="BL10" s="342"/>
      <c r="BM10" s="342"/>
      <c r="BN10" s="342"/>
      <c r="BO10" s="342"/>
      <c r="BP10" s="342"/>
      <c r="BQ10" s="342"/>
      <c r="BR10" s="342"/>
      <c r="BS10" s="342"/>
      <c r="BT10" s="342"/>
      <c r="BU10" s="342"/>
      <c r="BV10" s="342"/>
      <c r="BW10" s="342"/>
      <c r="BX10" s="342"/>
      <c r="BY10" s="342"/>
      <c r="BZ10" s="342"/>
      <c r="CA10" s="342"/>
      <c r="CB10" s="342"/>
      <c r="CC10" s="342"/>
      <c r="CD10" s="342"/>
      <c r="CE10" s="342"/>
      <c r="CF10" s="342"/>
      <c r="CG10" s="342"/>
      <c r="CH10" s="342"/>
      <c r="CI10" s="970"/>
      <c r="CJ10" s="970"/>
      <c r="CK10" s="970"/>
      <c r="CL10" s="970"/>
      <c r="CM10" s="970"/>
      <c r="CN10" s="970"/>
      <c r="CO10" s="970"/>
      <c r="CP10" s="970"/>
      <c r="CQ10" s="970"/>
      <c r="CR10" s="970"/>
      <c r="CS10" s="970"/>
      <c r="CT10" s="970"/>
      <c r="CU10" s="970"/>
      <c r="CV10" s="970"/>
      <c r="CW10" s="970"/>
      <c r="CX10" s="970"/>
      <c r="CY10" s="970"/>
      <c r="CZ10" s="970"/>
      <c r="DA10" s="970"/>
      <c r="DB10" s="970"/>
      <c r="DC10" s="970"/>
      <c r="DD10" s="970"/>
      <c r="DE10" s="970"/>
      <c r="DF10" s="970"/>
      <c r="DG10" s="970"/>
      <c r="DH10" s="970"/>
    </row>
    <row r="11" spans="1:112" s="341" customFormat="1" ht="14.1" customHeight="1">
      <c r="A11" s="1848" t="s">
        <v>352</v>
      </c>
      <c r="B11" s="1849"/>
      <c r="C11" s="1849"/>
      <c r="D11" s="1849"/>
      <c r="E11" s="1849"/>
      <c r="F11" s="1849"/>
      <c r="G11" s="1849"/>
      <c r="H11" s="1849"/>
      <c r="I11" s="1967" t="str">
        <f>+IF(I52="","",I52)</f>
        <v/>
      </c>
      <c r="J11" s="1967"/>
      <c r="K11" s="1967"/>
      <c r="L11" s="1967"/>
      <c r="M11" s="1968"/>
      <c r="N11" s="1969" t="s">
        <v>756</v>
      </c>
      <c r="O11" s="1970"/>
      <c r="P11" s="1970"/>
      <c r="Q11" s="1970"/>
      <c r="R11" s="1970"/>
      <c r="S11" s="1970"/>
      <c r="T11" s="1970"/>
      <c r="U11" s="1970"/>
      <c r="V11" s="1970"/>
      <c r="W11" s="1970"/>
      <c r="X11" s="1970"/>
      <c r="Y11" s="1965" t="str">
        <f>IF(Y52="","",Y52)</f>
        <v/>
      </c>
      <c r="Z11" s="1965"/>
      <c r="AA11" s="1965"/>
      <c r="AB11" s="1965"/>
      <c r="AC11" s="1965"/>
      <c r="AD11" s="1965"/>
      <c r="AE11" s="1965"/>
      <c r="AF11" s="1966"/>
      <c r="AG11" s="925" t="str">
        <f>IF(I11="","",IF(((1-(AG12/I11))*100)&gt;0.3,"No cumple","cumple"))</f>
        <v/>
      </c>
      <c r="AH11" s="925"/>
      <c r="AI11" s="925"/>
      <c r="AJ11" s="925"/>
      <c r="AK11" s="925"/>
      <c r="AL11" s="925"/>
      <c r="AM11" s="925"/>
      <c r="AN11" s="925"/>
      <c r="AO11" s="925"/>
      <c r="AP11" s="925"/>
      <c r="AQ11" s="925"/>
      <c r="AR11" s="925"/>
      <c r="AS11" s="925"/>
      <c r="AT11" s="925"/>
      <c r="AU11" s="925"/>
      <c r="AV11" s="925"/>
      <c r="AW11" s="925"/>
      <c r="AX11" s="925"/>
      <c r="AY11" s="925"/>
      <c r="AZ11" s="925"/>
      <c r="BA11" s="925"/>
      <c r="BB11" s="925"/>
      <c r="BC11" s="925"/>
      <c r="BD11" s="925"/>
      <c r="BE11" s="925"/>
      <c r="BF11" s="925"/>
      <c r="BG11" s="925"/>
      <c r="BH11" s="925"/>
      <c r="BJ11" s="340"/>
      <c r="BK11" s="342"/>
      <c r="BL11" s="342"/>
      <c r="BM11" s="342"/>
      <c r="BN11" s="342"/>
      <c r="BO11" s="342"/>
      <c r="BP11" s="342"/>
      <c r="BQ11" s="342"/>
      <c r="BR11" s="342"/>
      <c r="BS11" s="342"/>
      <c r="BT11" s="342"/>
      <c r="BU11" s="342"/>
      <c r="BV11" s="342"/>
      <c r="BW11" s="342"/>
      <c r="BX11" s="342"/>
      <c r="BY11" s="342"/>
      <c r="BZ11" s="342"/>
      <c r="CA11" s="342"/>
      <c r="CB11" s="342"/>
      <c r="CC11" s="342"/>
      <c r="CD11" s="342"/>
      <c r="CE11" s="342"/>
      <c r="CF11" s="342"/>
      <c r="CG11" s="342"/>
      <c r="CH11" s="342"/>
      <c r="CI11" s="970"/>
      <c r="CJ11" s="970"/>
      <c r="CK11" s="970"/>
      <c r="CL11" s="970"/>
      <c r="CM11" s="970"/>
      <c r="CN11" s="970"/>
      <c r="CO11" s="970"/>
      <c r="CP11" s="970"/>
      <c r="CQ11" s="970"/>
      <c r="CR11" s="970"/>
      <c r="CS11" s="970"/>
      <c r="CT11" s="970"/>
      <c r="CU11" s="970"/>
      <c r="CV11" s="970"/>
      <c r="CW11" s="970"/>
      <c r="CX11" s="970"/>
      <c r="CY11" s="970"/>
      <c r="CZ11" s="970"/>
      <c r="DA11" s="970"/>
      <c r="DB11" s="970"/>
      <c r="DC11" s="970"/>
      <c r="DD11" s="970"/>
      <c r="DE11" s="970"/>
      <c r="DF11" s="970"/>
      <c r="DG11" s="970"/>
      <c r="DH11" s="970"/>
    </row>
    <row r="12" spans="1:112" ht="23.25" customHeight="1">
      <c r="A12" s="1942" t="s">
        <v>4</v>
      </c>
      <c r="B12" s="1943"/>
      <c r="C12" s="1943"/>
      <c r="D12" s="1943"/>
      <c r="E12" s="1943"/>
      <c r="F12" s="1943"/>
      <c r="G12" s="1943"/>
      <c r="H12" s="1944"/>
      <c r="I12" s="1945" t="s">
        <v>344</v>
      </c>
      <c r="J12" s="1946"/>
      <c r="K12" s="1946"/>
      <c r="L12" s="1946"/>
      <c r="M12" s="1946"/>
      <c r="N12" s="1946"/>
      <c r="O12" s="1946"/>
      <c r="P12" s="1947"/>
      <c r="Q12" s="1948" t="s">
        <v>368</v>
      </c>
      <c r="R12" s="1949"/>
      <c r="S12" s="1949"/>
      <c r="T12" s="1949"/>
      <c r="U12" s="1949"/>
      <c r="V12" s="1949"/>
      <c r="W12" s="1949"/>
      <c r="X12" s="1950"/>
      <c r="Y12" s="1951" t="s">
        <v>355</v>
      </c>
      <c r="Z12" s="1946"/>
      <c r="AA12" s="1946"/>
      <c r="AB12" s="1946"/>
      <c r="AC12" s="1949"/>
      <c r="AD12" s="1949"/>
      <c r="AE12" s="1949"/>
      <c r="AF12" s="1952"/>
      <c r="AG12" s="924" t="str">
        <f>IF(I11="","",SUM(I14:P24)+(I11-Y11))</f>
        <v/>
      </c>
      <c r="AH12" s="1971" t="s">
        <v>649</v>
      </c>
      <c r="AI12" s="1972"/>
      <c r="AJ12" s="1972"/>
      <c r="AK12" s="1972"/>
      <c r="AL12" s="1972"/>
      <c r="AM12" s="1972"/>
      <c r="AN12" s="1972"/>
      <c r="AO12" s="1972"/>
      <c r="AP12" s="1972"/>
      <c r="AQ12" s="1972"/>
      <c r="AR12" s="1972"/>
      <c r="AS12" s="1972"/>
      <c r="AT12" s="1972"/>
      <c r="AU12" s="1972"/>
      <c r="AV12" s="1972"/>
      <c r="AW12" s="1972"/>
      <c r="AX12" s="1972"/>
      <c r="AY12" s="1972"/>
      <c r="AZ12" s="1972"/>
      <c r="BA12" s="1972"/>
      <c r="BB12" s="1972"/>
      <c r="BC12" s="1972"/>
      <c r="BD12" s="1972"/>
      <c r="BE12" s="1972"/>
      <c r="BF12" s="1973"/>
      <c r="BG12" s="1974"/>
      <c r="BH12" s="924"/>
      <c r="BI12" s="2009" t="s">
        <v>572</v>
      </c>
      <c r="BJ12" s="2010"/>
      <c r="BK12" s="2010"/>
      <c r="BL12" s="2010"/>
      <c r="BM12" s="2010"/>
      <c r="BN12" s="2010"/>
      <c r="BO12" s="2010"/>
      <c r="BP12" s="2010"/>
      <c r="BQ12" s="2010"/>
      <c r="BR12" s="2010"/>
      <c r="BS12" s="2010"/>
      <c r="BT12" s="2010"/>
      <c r="BU12" s="2010"/>
      <c r="BV12" s="2010"/>
      <c r="BW12" s="2010"/>
      <c r="BX12" s="2010"/>
      <c r="BY12" s="2010"/>
      <c r="BZ12" s="2010"/>
      <c r="CA12" s="2010"/>
      <c r="CB12" s="2010"/>
      <c r="CC12" s="2010"/>
      <c r="CD12" s="2010"/>
      <c r="CE12" s="2010"/>
      <c r="CF12" s="2010"/>
      <c r="CG12" s="2011"/>
      <c r="CH12" s="2010"/>
      <c r="CI12" s="2009" t="s">
        <v>650</v>
      </c>
      <c r="CJ12" s="2010"/>
      <c r="CK12" s="2010"/>
      <c r="CL12" s="2010"/>
      <c r="CM12" s="2010"/>
      <c r="CN12" s="2010"/>
      <c r="CO12" s="2010"/>
      <c r="CP12" s="2010"/>
      <c r="CQ12" s="2010"/>
      <c r="CR12" s="2010"/>
      <c r="CS12" s="2010"/>
      <c r="CT12" s="2010"/>
      <c r="CU12" s="2010"/>
      <c r="CV12" s="2010"/>
      <c r="CW12" s="2010"/>
      <c r="CX12" s="2010"/>
      <c r="CY12" s="2010"/>
      <c r="CZ12" s="2010"/>
      <c r="DA12" s="2010"/>
      <c r="DB12" s="2010"/>
      <c r="DC12" s="2010"/>
      <c r="DD12" s="2010"/>
      <c r="DE12" s="2010"/>
      <c r="DF12" s="2010"/>
      <c r="DG12" s="2011"/>
      <c r="DH12" s="2012"/>
    </row>
    <row r="13" spans="1:112" ht="22.5" customHeight="1">
      <c r="A13" s="2013" t="s">
        <v>517</v>
      </c>
      <c r="B13" s="2014"/>
      <c r="C13" s="2014"/>
      <c r="D13" s="2015"/>
      <c r="E13" s="2016" t="s">
        <v>516</v>
      </c>
      <c r="F13" s="2017"/>
      <c r="G13" s="2017"/>
      <c r="H13" s="2018"/>
      <c r="I13" s="1945"/>
      <c r="J13" s="1946"/>
      <c r="K13" s="1946"/>
      <c r="L13" s="1946"/>
      <c r="M13" s="1946"/>
      <c r="N13" s="1946"/>
      <c r="O13" s="1946"/>
      <c r="P13" s="1947"/>
      <c r="Q13" s="2019" t="s">
        <v>110</v>
      </c>
      <c r="R13" s="2020"/>
      <c r="S13" s="2020"/>
      <c r="T13" s="2021"/>
      <c r="U13" s="2019" t="s">
        <v>51</v>
      </c>
      <c r="V13" s="2020"/>
      <c r="W13" s="2020"/>
      <c r="X13" s="2020"/>
      <c r="Y13" s="1823" t="s">
        <v>2</v>
      </c>
      <c r="Z13" s="1824"/>
      <c r="AA13" s="1824"/>
      <c r="AB13" s="1825"/>
      <c r="AC13" s="1940" t="s">
        <v>1</v>
      </c>
      <c r="AD13" s="1940"/>
      <c r="AE13" s="1940"/>
      <c r="AF13" s="1941"/>
      <c r="AG13" s="370">
        <v>1</v>
      </c>
      <c r="AH13" s="1000" t="str">
        <f>+$BI$36</f>
        <v xml:space="preserve"> BG_Gr1</v>
      </c>
      <c r="AI13" s="999" t="str">
        <f>+$BI$37</f>
        <v>BG_Gr2</v>
      </c>
      <c r="AJ13" s="999" t="str">
        <f>+$BI$38</f>
        <v>SG_Gr1</v>
      </c>
      <c r="AK13" s="999" t="str">
        <f>+$BI$39</f>
        <v>SG_Gr2</v>
      </c>
      <c r="AL13" s="999" t="str">
        <f>+$BI$40</f>
        <v>SBG_Pea</v>
      </c>
      <c r="AM13" s="999" t="str">
        <f>+$BI$41</f>
        <v xml:space="preserve"> AG 1</v>
      </c>
      <c r="AN13" s="999" t="str">
        <f>+$BI$42</f>
        <v>AG 2</v>
      </c>
      <c r="AO13" s="999" t="str">
        <f>+$BI$43</f>
        <v>AG 3</v>
      </c>
      <c r="AP13" s="998" t="str">
        <f>+$BI$44</f>
        <v>AG 4</v>
      </c>
      <c r="AQ13" s="999" t="str">
        <f>+$BI$45</f>
        <v>GRAVA 1"</v>
      </c>
      <c r="AR13" s="999" t="str">
        <f>+$BI$46</f>
        <v>GRAVA 3/4"</v>
      </c>
      <c r="AS13" s="999" t="str">
        <f>+$BI$47</f>
        <v>GRAVA 1/2"</v>
      </c>
      <c r="AT13" s="999" t="str">
        <f>+$BI$48</f>
        <v>ARENA TRITURADA DE CANTERA</v>
      </c>
      <c r="AU13" s="999" t="str">
        <f>+$BI$49</f>
        <v>ARENA TRITURADA DE RIO</v>
      </c>
      <c r="AV13" s="999" t="str">
        <f>+$BI$50</f>
        <v>ARENA CONCRETO FINA</v>
      </c>
      <c r="AW13" s="999" t="str">
        <f>+$BI$51</f>
        <v>ARENA CONCRETO GRUESA</v>
      </c>
      <c r="AX13" s="998" t="str">
        <f>+$BI$52</f>
        <v xml:space="preserve">ARENA DE PEÑA </v>
      </c>
      <c r="AY13" s="985" t="str">
        <f>+$BI$53</f>
        <v>MD10</v>
      </c>
      <c r="AZ13" s="985" t="str">
        <f>+$BI$54</f>
        <v>MD12</v>
      </c>
      <c r="BA13" s="985" t="str">
        <f>+$BI$55</f>
        <v>MD 20</v>
      </c>
      <c r="BB13" s="985" t="str">
        <f>+$BI$56</f>
        <v>MGCR TIPO 1</v>
      </c>
      <c r="BC13" s="985" t="str">
        <f>+$BI$57</f>
        <v>MGCR TIPO 2</v>
      </c>
      <c r="BD13" s="985" t="str">
        <f>+$BI$58</f>
        <v>MGCR TIPO 3</v>
      </c>
      <c r="BE13" s="985" t="str">
        <f>+$BI$61</f>
        <v>RAP ESTABILIZADO</v>
      </c>
      <c r="BF13" s="1025" t="str">
        <f>+$BI$59</f>
        <v>RAJÓN</v>
      </c>
      <c r="BG13" s="1001" t="str">
        <f>+$BI$60</f>
        <v>MATERIAL FILTRANTE 3" A 3/4"</v>
      </c>
      <c r="BH13" s="966">
        <f>+AH57</f>
        <v>0</v>
      </c>
      <c r="BI13" s="1000" t="str">
        <f>+$BI$36</f>
        <v xml:space="preserve"> BG_Gr1</v>
      </c>
      <c r="BJ13" s="999" t="str">
        <f>+$BI$37</f>
        <v>BG_Gr2</v>
      </c>
      <c r="BK13" s="999" t="str">
        <f>+$BI$38</f>
        <v>SG_Gr1</v>
      </c>
      <c r="BL13" s="999" t="str">
        <f>+$BI$39</f>
        <v>SG_Gr2</v>
      </c>
      <c r="BM13" s="999" t="str">
        <f>+$BI$40</f>
        <v>SBG_Pea</v>
      </c>
      <c r="BN13" s="999" t="str">
        <f>+$BI$41</f>
        <v xml:space="preserve"> AG 1</v>
      </c>
      <c r="BO13" s="999" t="str">
        <f>+$BI$42</f>
        <v>AG 2</v>
      </c>
      <c r="BP13" s="999" t="str">
        <f>+$BI$43</f>
        <v>AG 3</v>
      </c>
      <c r="BQ13" s="998" t="str">
        <f>+$BI$44</f>
        <v>AG 4</v>
      </c>
      <c r="BR13" s="999" t="str">
        <f>+$BI$45</f>
        <v>GRAVA 1"</v>
      </c>
      <c r="BS13" s="999" t="str">
        <f>+$BI$46</f>
        <v>GRAVA 3/4"</v>
      </c>
      <c r="BT13" s="999" t="str">
        <f>+$BI$47</f>
        <v>GRAVA 1/2"</v>
      </c>
      <c r="BU13" s="999" t="str">
        <f>+$BI$48</f>
        <v>ARENA TRITURADA DE CANTERA</v>
      </c>
      <c r="BV13" s="999" t="str">
        <f>+$BI$49</f>
        <v>ARENA TRITURADA DE RIO</v>
      </c>
      <c r="BW13" s="999" t="str">
        <f>+$BI$50</f>
        <v>ARENA CONCRETO FINA</v>
      </c>
      <c r="BX13" s="999" t="str">
        <f>+$BI$51</f>
        <v>ARENA CONCRETO GRUESA</v>
      </c>
      <c r="BY13" s="998" t="str">
        <f>+$BI$52</f>
        <v xml:space="preserve">ARENA DE PEÑA </v>
      </c>
      <c r="BZ13" s="985" t="str">
        <f>+$BI$53</f>
        <v>MD10</v>
      </c>
      <c r="CA13" s="985" t="str">
        <f>+$BI$54</f>
        <v>MD12</v>
      </c>
      <c r="CB13" s="985" t="str">
        <f>+$BI$55</f>
        <v>MD 20</v>
      </c>
      <c r="CC13" s="985" t="str">
        <f>+$BI$56</f>
        <v>MGCR TIPO 1</v>
      </c>
      <c r="CD13" s="985" t="str">
        <f>+$BI$57</f>
        <v>MGCR TIPO 2</v>
      </c>
      <c r="CE13" s="985" t="str">
        <f>+$BI$58</f>
        <v>MGCR TIPO 3</v>
      </c>
      <c r="CF13" s="985" t="str">
        <f>+$BI$61</f>
        <v>RAP ESTABILIZADO</v>
      </c>
      <c r="CG13" s="1025" t="str">
        <f>+$BI$59</f>
        <v>RAJÓN</v>
      </c>
      <c r="CH13" s="1001" t="str">
        <f>+$BI$60</f>
        <v>MATERIAL FILTRANTE 3" A 3/4"</v>
      </c>
      <c r="CI13" s="1000" t="str">
        <f>+$BI$36</f>
        <v xml:space="preserve"> BG_Gr1</v>
      </c>
      <c r="CJ13" s="999" t="str">
        <f>+$BI$37</f>
        <v>BG_Gr2</v>
      </c>
      <c r="CK13" s="999" t="str">
        <f>+$BI$38</f>
        <v>SG_Gr1</v>
      </c>
      <c r="CL13" s="999" t="str">
        <f>+$BI$39</f>
        <v>SG_Gr2</v>
      </c>
      <c r="CM13" s="999" t="str">
        <f>+$BI$40</f>
        <v>SBG_Pea</v>
      </c>
      <c r="CN13" s="999" t="str">
        <f>+$BI$41</f>
        <v xml:space="preserve"> AG 1</v>
      </c>
      <c r="CO13" s="999" t="str">
        <f>+$BI$42</f>
        <v>AG 2</v>
      </c>
      <c r="CP13" s="999" t="str">
        <f>+$BI$43</f>
        <v>AG 3</v>
      </c>
      <c r="CQ13" s="998" t="str">
        <f>+$BI$44</f>
        <v>AG 4</v>
      </c>
      <c r="CR13" s="999" t="str">
        <f>+$BI$45</f>
        <v>GRAVA 1"</v>
      </c>
      <c r="CS13" s="999" t="str">
        <f>+$BI$46</f>
        <v>GRAVA 3/4"</v>
      </c>
      <c r="CT13" s="999" t="str">
        <f>+$BI$47</f>
        <v>GRAVA 1/2"</v>
      </c>
      <c r="CU13" s="999" t="str">
        <f>+$BI$48</f>
        <v>ARENA TRITURADA DE CANTERA</v>
      </c>
      <c r="CV13" s="999" t="str">
        <f>+$BI$49</f>
        <v>ARENA TRITURADA DE RIO</v>
      </c>
      <c r="CW13" s="999" t="str">
        <f>+$BI$50</f>
        <v>ARENA CONCRETO FINA</v>
      </c>
      <c r="CX13" s="999" t="str">
        <f>+$BI$51</f>
        <v>ARENA CONCRETO GRUESA</v>
      </c>
      <c r="CY13" s="998" t="str">
        <f>+$BI$52</f>
        <v xml:space="preserve">ARENA DE PEÑA </v>
      </c>
      <c r="CZ13" s="985" t="str">
        <f>+$BI$53</f>
        <v>MD10</v>
      </c>
      <c r="DA13" s="985" t="str">
        <f>+$BI$54</f>
        <v>MD12</v>
      </c>
      <c r="DB13" s="985" t="str">
        <f>+$BI$55</f>
        <v>MD 20</v>
      </c>
      <c r="DC13" s="985" t="str">
        <f>+$BI$56</f>
        <v>MGCR TIPO 1</v>
      </c>
      <c r="DD13" s="985" t="str">
        <f>+$BI$57</f>
        <v>MGCR TIPO 2</v>
      </c>
      <c r="DE13" s="985" t="str">
        <f>+$BI$58</f>
        <v>MGCR TIPO 3</v>
      </c>
      <c r="DF13" s="985" t="str">
        <f>+$BI$61</f>
        <v>RAP ESTABILIZADO</v>
      </c>
      <c r="DG13" s="1025" t="str">
        <f>+$BI$59</f>
        <v>RAJÓN</v>
      </c>
      <c r="DH13" s="1030" t="str">
        <f>+$BI$60</f>
        <v>MATERIAL FILTRANTE 3" A 3/4"</v>
      </c>
    </row>
    <row r="14" spans="1:112" ht="15" customHeight="1">
      <c r="A14" s="1956" t="str">
        <f>IF($X$10="","",HLOOKUP($X$10,$AH$13:$BG$32,AG14,0))</f>
        <v/>
      </c>
      <c r="B14" s="1957"/>
      <c r="C14" s="1957"/>
      <c r="D14" s="1957"/>
      <c r="E14" s="1932" t="str">
        <f>IF(OR(A14="",A14=0),"",VLOOKUP(A14,$A$55:$H$75,5,0))</f>
        <v/>
      </c>
      <c r="F14" s="1932"/>
      <c r="G14" s="1932"/>
      <c r="H14" s="1933"/>
      <c r="I14" s="1958" t="str">
        <f>+IF(OR(A14=0,A14=""),"",VLOOKUP(A14,$A$55:$AA$76,25,0))</f>
        <v/>
      </c>
      <c r="J14" s="1959"/>
      <c r="K14" s="1959"/>
      <c r="L14" s="1959"/>
      <c r="M14" s="1959"/>
      <c r="N14" s="1959"/>
      <c r="O14" s="1959"/>
      <c r="P14" s="1960"/>
      <c r="Q14" s="1961" t="str">
        <f t="shared" ref="Q14:Q24" si="0">IF($I$11="","",IF(I14="","",(I14/$I$11)*100))</f>
        <v/>
      </c>
      <c r="R14" s="1961"/>
      <c r="S14" s="1961"/>
      <c r="T14" s="1962"/>
      <c r="U14" s="1963" t="str">
        <f>IF($I$11="","",IF(Q14="","",(100-Q14)))</f>
        <v/>
      </c>
      <c r="V14" s="1964"/>
      <c r="W14" s="1964"/>
      <c r="X14" s="1964"/>
      <c r="Y14" s="1953" t="str">
        <f t="shared" ref="Y14:Y24" si="1">IF($X$10="","",HLOOKUP($X$10,$BI$13:$CH$32,AG14,0))</f>
        <v/>
      </c>
      <c r="Z14" s="1954"/>
      <c r="AA14" s="1954"/>
      <c r="AB14" s="1954"/>
      <c r="AC14" s="1953" t="str">
        <f t="shared" ref="AC14:AC24" si="2">IF($X$10="","",HLOOKUP($X$10,$CI$13:$DH$32,AG14,0))</f>
        <v/>
      </c>
      <c r="AD14" s="1954"/>
      <c r="AE14" s="1954"/>
      <c r="AF14" s="1955"/>
      <c r="AG14" s="370">
        <v>2</v>
      </c>
      <c r="AH14" s="987">
        <v>37.5</v>
      </c>
      <c r="AI14" s="988">
        <v>25</v>
      </c>
      <c r="AJ14" s="966">
        <v>50</v>
      </c>
      <c r="AK14" s="988">
        <v>37.5</v>
      </c>
      <c r="AL14" s="966">
        <v>50</v>
      </c>
      <c r="AM14" s="966">
        <v>57</v>
      </c>
      <c r="AN14" s="966">
        <v>50</v>
      </c>
      <c r="AO14" s="966">
        <v>37.5</v>
      </c>
      <c r="AP14" s="966">
        <v>25</v>
      </c>
      <c r="AQ14" s="966">
        <v>37.5</v>
      </c>
      <c r="AR14" s="966">
        <v>25</v>
      </c>
      <c r="AS14" s="966">
        <v>19</v>
      </c>
      <c r="AT14" s="966">
        <v>12.5</v>
      </c>
      <c r="AU14" s="966">
        <v>12.5</v>
      </c>
      <c r="AV14" s="966">
        <v>4.75</v>
      </c>
      <c r="AW14" s="966">
        <v>9.5</v>
      </c>
      <c r="AX14" s="989"/>
      <c r="AY14" s="966">
        <v>12.5</v>
      </c>
      <c r="AZ14" s="966">
        <v>19</v>
      </c>
      <c r="BA14" s="966">
        <v>25</v>
      </c>
      <c r="BB14" s="966">
        <v>25</v>
      </c>
      <c r="BC14" s="966">
        <v>25</v>
      </c>
      <c r="BD14" s="966">
        <v>19</v>
      </c>
      <c r="BE14" s="966">
        <v>37.5</v>
      </c>
      <c r="BF14" s="966">
        <v>300</v>
      </c>
      <c r="BG14" s="1032">
        <f>+AH36</f>
        <v>76.2</v>
      </c>
      <c r="BH14" s="371"/>
      <c r="BI14" s="1002">
        <v>100</v>
      </c>
      <c r="BJ14" s="985">
        <v>100</v>
      </c>
      <c r="BK14" s="985">
        <v>100</v>
      </c>
      <c r="BL14" s="985">
        <v>100</v>
      </c>
      <c r="BM14" s="985">
        <v>100</v>
      </c>
      <c r="BN14" s="985">
        <v>100</v>
      </c>
      <c r="BO14" s="985">
        <v>100</v>
      </c>
      <c r="BP14" s="985">
        <v>100</v>
      </c>
      <c r="BQ14" s="985">
        <v>100</v>
      </c>
      <c r="BR14" s="985">
        <v>100</v>
      </c>
      <c r="BS14" s="985">
        <v>100</v>
      </c>
      <c r="BT14" s="985">
        <v>100</v>
      </c>
      <c r="BU14" s="985">
        <v>100</v>
      </c>
      <c r="BV14" s="985">
        <v>100</v>
      </c>
      <c r="BW14" s="985">
        <v>100</v>
      </c>
      <c r="BX14" s="985">
        <v>100</v>
      </c>
      <c r="BY14" s="977"/>
      <c r="BZ14" s="985">
        <v>100</v>
      </c>
      <c r="CA14" s="985">
        <v>100</v>
      </c>
      <c r="CB14" s="985">
        <v>100</v>
      </c>
      <c r="CC14" s="985">
        <v>100</v>
      </c>
      <c r="CD14" s="985">
        <v>100</v>
      </c>
      <c r="CE14" s="985">
        <v>100</v>
      </c>
      <c r="CF14" s="985">
        <v>100</v>
      </c>
      <c r="CG14" s="1004" t="s">
        <v>575</v>
      </c>
      <c r="CH14" s="1004" t="s">
        <v>575</v>
      </c>
      <c r="CI14" s="1002">
        <v>100</v>
      </c>
      <c r="CJ14" s="985">
        <v>100</v>
      </c>
      <c r="CK14" s="985">
        <v>100</v>
      </c>
      <c r="CL14" s="986">
        <v>100</v>
      </c>
      <c r="CM14" s="985">
        <v>100</v>
      </c>
      <c r="CN14" s="985">
        <v>100</v>
      </c>
      <c r="CO14" s="985">
        <v>100</v>
      </c>
      <c r="CP14" s="985">
        <v>100</v>
      </c>
      <c r="CQ14" s="985">
        <v>100</v>
      </c>
      <c r="CR14" s="985">
        <v>100</v>
      </c>
      <c r="CS14" s="985">
        <v>100</v>
      </c>
      <c r="CT14" s="985">
        <v>100</v>
      </c>
      <c r="CU14" s="985">
        <v>100</v>
      </c>
      <c r="CV14" s="985">
        <v>100</v>
      </c>
      <c r="CW14" s="985">
        <v>100</v>
      </c>
      <c r="CX14" s="985">
        <v>100</v>
      </c>
      <c r="CY14" s="985"/>
      <c r="CZ14" s="985">
        <v>100</v>
      </c>
      <c r="DA14" s="985">
        <v>100</v>
      </c>
      <c r="DB14" s="985">
        <v>100</v>
      </c>
      <c r="DC14" s="985">
        <v>100</v>
      </c>
      <c r="DD14" s="985">
        <v>100</v>
      </c>
      <c r="DE14" s="985">
        <v>100</v>
      </c>
      <c r="DF14" s="985">
        <v>100</v>
      </c>
      <c r="DG14" s="985">
        <v>100</v>
      </c>
      <c r="DH14" s="1001">
        <v>100</v>
      </c>
    </row>
    <row r="15" spans="1:112" ht="15" customHeight="1">
      <c r="A15" s="1930" t="str">
        <f>IF($X$10="","",HLOOKUP($X$10,$AH$13:$BG$32,AG15,0))</f>
        <v/>
      </c>
      <c r="B15" s="1931"/>
      <c r="C15" s="1931"/>
      <c r="D15" s="1931"/>
      <c r="E15" s="1932" t="str">
        <f t="shared" ref="E15:E23" si="3">IF(OR(A15="",A15=0),"",VLOOKUP(A15,$A$55:$H$75,5,0))</f>
        <v/>
      </c>
      <c r="F15" s="1932"/>
      <c r="G15" s="1932"/>
      <c r="H15" s="1933"/>
      <c r="I15" s="1934" t="str">
        <f t="shared" ref="I15:I24" si="4">+IF(OR(A15=0,A15=""),"",VLOOKUP(A15,$A$55:$AA$76,25,0))</f>
        <v/>
      </c>
      <c r="J15" s="1932"/>
      <c r="K15" s="1932"/>
      <c r="L15" s="1932"/>
      <c r="M15" s="1932"/>
      <c r="N15" s="1932"/>
      <c r="O15" s="1932"/>
      <c r="P15" s="1933"/>
      <c r="Q15" s="1935" t="str">
        <f>IF($I$11="","",IF(I15="","",(I15/$I$11)*100))</f>
        <v/>
      </c>
      <c r="R15" s="1935"/>
      <c r="S15" s="1935"/>
      <c r="T15" s="1936"/>
      <c r="U15" s="1937" t="str">
        <f>IF($I$11="","",IF(Q15="","",(U14-Q15)))</f>
        <v/>
      </c>
      <c r="V15" s="1938"/>
      <c r="W15" s="1938"/>
      <c r="X15" s="1938"/>
      <c r="Y15" s="1927" t="str">
        <f t="shared" si="1"/>
        <v/>
      </c>
      <c r="Z15" s="1928"/>
      <c r="AA15" s="1928"/>
      <c r="AB15" s="1928"/>
      <c r="AC15" s="1927" t="str">
        <f t="shared" si="2"/>
        <v/>
      </c>
      <c r="AD15" s="1928"/>
      <c r="AE15" s="1928"/>
      <c r="AF15" s="1929"/>
      <c r="AG15" s="370">
        <v>3</v>
      </c>
      <c r="AH15" s="987">
        <v>25</v>
      </c>
      <c r="AI15" s="988">
        <v>19</v>
      </c>
      <c r="AJ15" s="988">
        <v>37.5</v>
      </c>
      <c r="AK15" s="988">
        <v>25</v>
      </c>
      <c r="AL15" s="988">
        <v>37.5</v>
      </c>
      <c r="AM15" s="966">
        <v>50</v>
      </c>
      <c r="AN15" s="966">
        <v>37.5</v>
      </c>
      <c r="AO15" s="966">
        <v>25</v>
      </c>
      <c r="AP15" s="966">
        <v>19</v>
      </c>
      <c r="AQ15" s="966">
        <v>25</v>
      </c>
      <c r="AR15" s="966">
        <v>19</v>
      </c>
      <c r="AS15" s="966">
        <v>12.5</v>
      </c>
      <c r="AT15" s="966">
        <v>9.5</v>
      </c>
      <c r="AU15" s="966">
        <v>9.5</v>
      </c>
      <c r="AV15" s="966">
        <v>2.36</v>
      </c>
      <c r="AW15" s="966">
        <v>4.75</v>
      </c>
      <c r="AX15" s="989"/>
      <c r="AY15" s="966">
        <v>9.5</v>
      </c>
      <c r="AZ15" s="966">
        <v>12.5</v>
      </c>
      <c r="BA15" s="966">
        <v>19</v>
      </c>
      <c r="BB15" s="966">
        <v>19</v>
      </c>
      <c r="BC15" s="966">
        <v>19</v>
      </c>
      <c r="BD15" s="966">
        <v>12.5</v>
      </c>
      <c r="BE15" s="966">
        <v>25</v>
      </c>
      <c r="BF15" s="966">
        <v>25</v>
      </c>
      <c r="BG15" s="1031">
        <f>+AH37</f>
        <v>64</v>
      </c>
      <c r="BH15" s="371"/>
      <c r="BI15" s="1002">
        <v>75</v>
      </c>
      <c r="BJ15" s="985">
        <v>75</v>
      </c>
      <c r="BK15" s="985">
        <v>80</v>
      </c>
      <c r="BL15" s="985">
        <v>75</v>
      </c>
      <c r="BM15" s="985">
        <v>75</v>
      </c>
      <c r="BN15" s="985">
        <v>95</v>
      </c>
      <c r="BO15" s="985">
        <v>95</v>
      </c>
      <c r="BP15" s="985">
        <v>95</v>
      </c>
      <c r="BQ15" s="985">
        <v>95</v>
      </c>
      <c r="BR15" s="985">
        <v>93.6</v>
      </c>
      <c r="BS15" s="985">
        <v>93</v>
      </c>
      <c r="BT15" s="985">
        <v>93</v>
      </c>
      <c r="BU15" s="985">
        <v>97</v>
      </c>
      <c r="BV15" s="985">
        <v>95.1</v>
      </c>
      <c r="BW15" s="985">
        <v>90</v>
      </c>
      <c r="BX15" s="985">
        <v>85</v>
      </c>
      <c r="BY15" s="977"/>
      <c r="BZ15" s="985">
        <v>80</v>
      </c>
      <c r="CA15" s="996">
        <v>80</v>
      </c>
      <c r="CB15" s="985">
        <v>80</v>
      </c>
      <c r="CC15" s="985">
        <v>95</v>
      </c>
      <c r="CD15" s="985">
        <v>95</v>
      </c>
      <c r="CE15" s="985">
        <v>90</v>
      </c>
      <c r="CF15" s="985">
        <v>75</v>
      </c>
      <c r="CG15" s="1004" t="s">
        <v>575</v>
      </c>
      <c r="CH15" s="1004" t="s">
        <v>575</v>
      </c>
      <c r="CI15" s="1002">
        <v>95</v>
      </c>
      <c r="CJ15" s="985">
        <v>95</v>
      </c>
      <c r="CK15" s="985">
        <v>95</v>
      </c>
      <c r="CL15" s="985">
        <v>95</v>
      </c>
      <c r="CM15" s="985">
        <v>98</v>
      </c>
      <c r="CN15" s="986">
        <v>100</v>
      </c>
      <c r="CO15" s="985">
        <v>100</v>
      </c>
      <c r="CP15" s="985">
        <v>100</v>
      </c>
      <c r="CQ15" s="985">
        <v>100</v>
      </c>
      <c r="CR15" s="985">
        <v>100</v>
      </c>
      <c r="CS15" s="985">
        <v>100</v>
      </c>
      <c r="CT15" s="985">
        <v>100</v>
      </c>
      <c r="CU15" s="985">
        <v>100</v>
      </c>
      <c r="CV15" s="985">
        <v>100</v>
      </c>
      <c r="CW15" s="985">
        <v>100</v>
      </c>
      <c r="CX15" s="985">
        <v>100</v>
      </c>
      <c r="CY15" s="985"/>
      <c r="CZ15" s="985">
        <v>95</v>
      </c>
      <c r="DA15" s="985">
        <v>95</v>
      </c>
      <c r="DB15" s="985">
        <v>95</v>
      </c>
      <c r="DC15" s="985">
        <v>100</v>
      </c>
      <c r="DD15" s="985">
        <v>100</v>
      </c>
      <c r="DE15" s="985">
        <v>100</v>
      </c>
      <c r="DF15" s="985">
        <v>100</v>
      </c>
      <c r="DG15" s="985">
        <v>30</v>
      </c>
      <c r="DH15" s="1001">
        <v>100</v>
      </c>
    </row>
    <row r="16" spans="1:112" ht="15" customHeight="1">
      <c r="A16" s="1930" t="str">
        <f t="shared" ref="A16:A23" si="5">IF($X$10="","",HLOOKUP($X$10,$AH$13:$BG$32,AG16,0))</f>
        <v/>
      </c>
      <c r="B16" s="1931"/>
      <c r="C16" s="1931"/>
      <c r="D16" s="1931"/>
      <c r="E16" s="1932" t="str">
        <f t="shared" si="3"/>
        <v/>
      </c>
      <c r="F16" s="1932"/>
      <c r="G16" s="1932"/>
      <c r="H16" s="1933"/>
      <c r="I16" s="1934" t="str">
        <f t="shared" si="4"/>
        <v/>
      </c>
      <c r="J16" s="1932"/>
      <c r="K16" s="1932"/>
      <c r="L16" s="1932"/>
      <c r="M16" s="1932"/>
      <c r="N16" s="1932"/>
      <c r="O16" s="1932"/>
      <c r="P16" s="1933"/>
      <c r="Q16" s="1935" t="str">
        <f t="shared" si="0"/>
        <v/>
      </c>
      <c r="R16" s="1935"/>
      <c r="S16" s="1935"/>
      <c r="T16" s="1936"/>
      <c r="U16" s="1937" t="str">
        <f>IF($I$11="","",IF(Q16="","",(U15-Q16)))</f>
        <v/>
      </c>
      <c r="V16" s="1938"/>
      <c r="W16" s="1938"/>
      <c r="X16" s="1938"/>
      <c r="Y16" s="1927" t="str">
        <f t="shared" si="1"/>
        <v/>
      </c>
      <c r="Z16" s="1928"/>
      <c r="AA16" s="1928"/>
      <c r="AB16" s="1928"/>
      <c r="AC16" s="1927" t="str">
        <f t="shared" si="2"/>
        <v/>
      </c>
      <c r="AD16" s="1928"/>
      <c r="AE16" s="1928"/>
      <c r="AF16" s="1929"/>
      <c r="AG16" s="370">
        <v>4</v>
      </c>
      <c r="AH16" s="987">
        <v>19</v>
      </c>
      <c r="AI16" s="966">
        <v>9.5</v>
      </c>
      <c r="AJ16" s="988">
        <v>25</v>
      </c>
      <c r="AK16" s="988">
        <v>19</v>
      </c>
      <c r="AL16" s="988">
        <v>25</v>
      </c>
      <c r="AM16" s="966">
        <v>25</v>
      </c>
      <c r="AN16" s="966">
        <v>19</v>
      </c>
      <c r="AO16" s="966">
        <v>12.5</v>
      </c>
      <c r="AP16" s="966">
        <v>9.5</v>
      </c>
      <c r="AQ16" s="966">
        <v>19</v>
      </c>
      <c r="AR16" s="966">
        <v>12.5</v>
      </c>
      <c r="AS16" s="966">
        <v>9.5</v>
      </c>
      <c r="AT16" s="966">
        <v>4.75</v>
      </c>
      <c r="AU16" s="966">
        <v>4.75</v>
      </c>
      <c r="AV16" s="966">
        <v>1.18</v>
      </c>
      <c r="AW16" s="966">
        <v>2.36</v>
      </c>
      <c r="AX16" s="989"/>
      <c r="AY16" s="966">
        <v>4.75</v>
      </c>
      <c r="AZ16" s="966">
        <v>9.5</v>
      </c>
      <c r="BA16" s="966">
        <v>12.5</v>
      </c>
      <c r="BB16" s="966">
        <v>12.5</v>
      </c>
      <c r="BC16" s="966">
        <v>12.5</v>
      </c>
      <c r="BD16" s="966">
        <v>9.5</v>
      </c>
      <c r="BE16" s="966">
        <v>19</v>
      </c>
      <c r="BF16" s="966">
        <v>7.4999999999999997E-2</v>
      </c>
      <c r="BG16" s="1031">
        <f>+AH39</f>
        <v>50</v>
      </c>
      <c r="BH16" s="371"/>
      <c r="BI16" s="1002">
        <v>60</v>
      </c>
      <c r="BJ16" s="985">
        <v>50</v>
      </c>
      <c r="BK16" s="985">
        <v>60</v>
      </c>
      <c r="BL16" s="985">
        <v>62</v>
      </c>
      <c r="BM16" s="985">
        <v>60</v>
      </c>
      <c r="BN16" s="985">
        <v>35</v>
      </c>
      <c r="BO16" s="985">
        <v>30</v>
      </c>
      <c r="BP16" s="985">
        <v>20</v>
      </c>
      <c r="BQ16" s="985">
        <v>20</v>
      </c>
      <c r="BR16" s="985">
        <v>74.5</v>
      </c>
      <c r="BS16" s="985">
        <v>10</v>
      </c>
      <c r="BT16" s="985">
        <v>40</v>
      </c>
      <c r="BU16" s="985">
        <v>73</v>
      </c>
      <c r="BV16" s="985">
        <v>90.2</v>
      </c>
      <c r="BW16" s="985">
        <v>85</v>
      </c>
      <c r="BX16" s="985">
        <v>60</v>
      </c>
      <c r="BY16" s="977"/>
      <c r="BZ16" s="985">
        <v>59</v>
      </c>
      <c r="CA16" s="985">
        <v>71</v>
      </c>
      <c r="CB16" s="996">
        <v>66</v>
      </c>
      <c r="CC16" s="985">
        <v>87</v>
      </c>
      <c r="CD16" s="985">
        <v>83</v>
      </c>
      <c r="CE16" s="985">
        <v>83</v>
      </c>
      <c r="CF16" s="985">
        <v>65</v>
      </c>
      <c r="CG16" s="1004" t="s">
        <v>575</v>
      </c>
      <c r="CH16" s="1004" t="s">
        <v>575</v>
      </c>
      <c r="CI16" s="1002">
        <v>90</v>
      </c>
      <c r="CJ16" s="985">
        <v>80</v>
      </c>
      <c r="CK16" s="985">
        <v>90</v>
      </c>
      <c r="CL16" s="985">
        <v>88</v>
      </c>
      <c r="CM16" s="985">
        <v>90</v>
      </c>
      <c r="CN16" s="985">
        <v>70</v>
      </c>
      <c r="CO16" s="985">
        <v>70</v>
      </c>
      <c r="CP16" s="985">
        <v>60</v>
      </c>
      <c r="CQ16" s="985">
        <v>55</v>
      </c>
      <c r="CR16" s="985">
        <v>82.5</v>
      </c>
      <c r="CS16" s="985">
        <v>35</v>
      </c>
      <c r="CT16" s="985">
        <v>70</v>
      </c>
      <c r="CU16" s="985">
        <v>81</v>
      </c>
      <c r="CV16" s="985">
        <v>98.2</v>
      </c>
      <c r="CW16" s="985">
        <v>90</v>
      </c>
      <c r="CX16" s="985">
        <v>80</v>
      </c>
      <c r="CY16" s="985"/>
      <c r="CZ16" s="985">
        <v>76</v>
      </c>
      <c r="DA16" s="985">
        <v>87</v>
      </c>
      <c r="DB16" s="985">
        <v>82</v>
      </c>
      <c r="DC16" s="985">
        <v>97</v>
      </c>
      <c r="DD16" s="985">
        <v>87</v>
      </c>
      <c r="DE16" s="985">
        <v>87</v>
      </c>
      <c r="DF16" s="985">
        <v>100</v>
      </c>
      <c r="DG16" s="985">
        <v>15</v>
      </c>
      <c r="DH16" s="1001">
        <v>100</v>
      </c>
    </row>
    <row r="17" spans="1:112" ht="15" customHeight="1">
      <c r="A17" s="1930" t="str">
        <f t="shared" si="5"/>
        <v/>
      </c>
      <c r="B17" s="1931"/>
      <c r="C17" s="1931"/>
      <c r="D17" s="1931"/>
      <c r="E17" s="1932" t="str">
        <f t="shared" si="3"/>
        <v/>
      </c>
      <c r="F17" s="1932"/>
      <c r="G17" s="1932"/>
      <c r="H17" s="1933"/>
      <c r="I17" s="1934" t="str">
        <f t="shared" si="4"/>
        <v/>
      </c>
      <c r="J17" s="1932"/>
      <c r="K17" s="1932"/>
      <c r="L17" s="1932"/>
      <c r="M17" s="1932"/>
      <c r="N17" s="1932"/>
      <c r="O17" s="1932"/>
      <c r="P17" s="1933"/>
      <c r="Q17" s="1935" t="str">
        <f>IF($I$11="","",IF(I17="","",(I17/$I$11)*100))</f>
        <v/>
      </c>
      <c r="R17" s="1935"/>
      <c r="S17" s="1935"/>
      <c r="T17" s="1936"/>
      <c r="U17" s="1937" t="str">
        <f>IF($I$11="","",IF(Q17="","",(U16-Q17)))</f>
        <v/>
      </c>
      <c r="V17" s="1938"/>
      <c r="W17" s="1938"/>
      <c r="X17" s="1938"/>
      <c r="Y17" s="1927" t="str">
        <f t="shared" si="1"/>
        <v/>
      </c>
      <c r="Z17" s="1928"/>
      <c r="AA17" s="1928"/>
      <c r="AB17" s="1928"/>
      <c r="AC17" s="1927" t="str">
        <f t="shared" si="2"/>
        <v/>
      </c>
      <c r="AD17" s="1928"/>
      <c r="AE17" s="1928"/>
      <c r="AF17" s="1929"/>
      <c r="AG17" s="370">
        <v>5</v>
      </c>
      <c r="AH17" s="965">
        <v>9.5</v>
      </c>
      <c r="AI17" s="966">
        <v>4.75</v>
      </c>
      <c r="AJ17" s="966">
        <v>9.5</v>
      </c>
      <c r="AK17" s="966">
        <v>9.5</v>
      </c>
      <c r="AL17" s="966">
        <v>9.5</v>
      </c>
      <c r="AM17" s="966">
        <v>12.5</v>
      </c>
      <c r="AN17" s="966">
        <v>9.5</v>
      </c>
      <c r="AO17" s="966">
        <v>4.75</v>
      </c>
      <c r="AP17" s="966">
        <v>4.75</v>
      </c>
      <c r="AQ17" s="966">
        <v>12.5</v>
      </c>
      <c r="AR17" s="966">
        <v>9.5</v>
      </c>
      <c r="AS17" s="966">
        <v>4.75</v>
      </c>
      <c r="AT17" s="966">
        <v>2</v>
      </c>
      <c r="AU17" s="966">
        <v>2</v>
      </c>
      <c r="AV17" s="966">
        <v>0.6</v>
      </c>
      <c r="AW17" s="966">
        <v>1.18</v>
      </c>
      <c r="AX17" s="989"/>
      <c r="AY17" s="966">
        <v>2</v>
      </c>
      <c r="AZ17" s="966">
        <v>4.75</v>
      </c>
      <c r="BA17" s="966">
        <v>9.5</v>
      </c>
      <c r="BB17" s="966">
        <v>9.5</v>
      </c>
      <c r="BC17" s="966">
        <v>9.5</v>
      </c>
      <c r="BD17" s="966">
        <v>4.75</v>
      </c>
      <c r="BE17" s="966">
        <v>9.5</v>
      </c>
      <c r="BF17" s="966"/>
      <c r="BG17" s="990">
        <v>37.5</v>
      </c>
      <c r="BH17" s="371"/>
      <c r="BI17" s="1002">
        <v>40</v>
      </c>
      <c r="BJ17" s="985">
        <v>35</v>
      </c>
      <c r="BK17" s="985">
        <v>36</v>
      </c>
      <c r="BL17" s="985">
        <v>42</v>
      </c>
      <c r="BM17" s="985">
        <v>36</v>
      </c>
      <c r="BN17" s="985">
        <v>10</v>
      </c>
      <c r="BO17" s="985">
        <v>10</v>
      </c>
      <c r="BP17" s="1003" t="s">
        <v>575</v>
      </c>
      <c r="BQ17" s="1003" t="s">
        <v>575</v>
      </c>
      <c r="BR17" s="985">
        <v>31.9</v>
      </c>
      <c r="BS17" s="1004" t="s">
        <v>575</v>
      </c>
      <c r="BT17" s="1004" t="s">
        <v>575</v>
      </c>
      <c r="BU17" s="985">
        <v>53</v>
      </c>
      <c r="BV17" s="985">
        <v>61.5</v>
      </c>
      <c r="BW17" s="985">
        <v>75</v>
      </c>
      <c r="BX17" s="985">
        <v>45</v>
      </c>
      <c r="BY17" s="977"/>
      <c r="BZ17" s="985">
        <v>36</v>
      </c>
      <c r="CA17" s="985">
        <v>49</v>
      </c>
      <c r="CB17" s="985">
        <v>59</v>
      </c>
      <c r="CC17" s="985">
        <v>70</v>
      </c>
      <c r="CD17" s="985">
        <v>65</v>
      </c>
      <c r="CE17" s="985">
        <v>28</v>
      </c>
      <c r="CF17" s="985">
        <v>45</v>
      </c>
      <c r="CG17" s="985"/>
      <c r="CH17" s="1004" t="s">
        <v>575</v>
      </c>
      <c r="CI17" s="1002">
        <v>70</v>
      </c>
      <c r="CJ17" s="985">
        <v>60</v>
      </c>
      <c r="CK17" s="985">
        <v>68</v>
      </c>
      <c r="CL17" s="985">
        <v>78</v>
      </c>
      <c r="CM17" s="985">
        <v>66</v>
      </c>
      <c r="CN17" s="985">
        <v>30</v>
      </c>
      <c r="CO17" s="985">
        <v>30</v>
      </c>
      <c r="CP17" s="985">
        <v>5</v>
      </c>
      <c r="CQ17" s="985">
        <v>5</v>
      </c>
      <c r="CR17" s="985">
        <v>39.9</v>
      </c>
      <c r="CS17" s="985">
        <v>6.6</v>
      </c>
      <c r="CT17" s="985">
        <v>15</v>
      </c>
      <c r="CU17" s="985">
        <v>59</v>
      </c>
      <c r="CV17" s="985">
        <v>67.5</v>
      </c>
      <c r="CW17" s="985">
        <v>85</v>
      </c>
      <c r="CX17" s="985">
        <v>65</v>
      </c>
      <c r="CY17" s="985"/>
      <c r="CZ17" s="985">
        <v>51</v>
      </c>
      <c r="DA17" s="985">
        <v>65</v>
      </c>
      <c r="DB17" s="985">
        <v>75</v>
      </c>
      <c r="DC17" s="985">
        <v>80</v>
      </c>
      <c r="DD17" s="985">
        <v>70</v>
      </c>
      <c r="DE17" s="985">
        <v>42</v>
      </c>
      <c r="DF17" s="985">
        <v>75</v>
      </c>
      <c r="DG17" s="985"/>
      <c r="DH17" s="1001">
        <v>100</v>
      </c>
    </row>
    <row r="18" spans="1:112" ht="15" customHeight="1">
      <c r="A18" s="1930" t="str">
        <f t="shared" si="5"/>
        <v/>
      </c>
      <c r="B18" s="1931"/>
      <c r="C18" s="1931"/>
      <c r="D18" s="1931"/>
      <c r="E18" s="1932" t="str">
        <f t="shared" si="3"/>
        <v/>
      </c>
      <c r="F18" s="1932"/>
      <c r="G18" s="1932"/>
      <c r="H18" s="1933"/>
      <c r="I18" s="1934" t="str">
        <f t="shared" si="4"/>
        <v/>
      </c>
      <c r="J18" s="1932"/>
      <c r="K18" s="1932"/>
      <c r="L18" s="1932"/>
      <c r="M18" s="1932"/>
      <c r="N18" s="1932"/>
      <c r="O18" s="1932"/>
      <c r="P18" s="1933"/>
      <c r="Q18" s="1935" t="str">
        <f>IF($I$11="","",IF(I18="","",(I18/$I$11)*100))</f>
        <v/>
      </c>
      <c r="R18" s="1935"/>
      <c r="S18" s="1935"/>
      <c r="T18" s="1936"/>
      <c r="U18" s="1937" t="str">
        <f>IF($I$11="","",IF(Q18="","",(U17-Q18)))</f>
        <v/>
      </c>
      <c r="V18" s="1938"/>
      <c r="W18" s="1938"/>
      <c r="X18" s="1938"/>
      <c r="Y18" s="1927" t="str">
        <f t="shared" si="1"/>
        <v/>
      </c>
      <c r="Z18" s="1928"/>
      <c r="AA18" s="1928"/>
      <c r="AB18" s="1928"/>
      <c r="AC18" s="1927" t="str">
        <f t="shared" si="2"/>
        <v/>
      </c>
      <c r="AD18" s="1928"/>
      <c r="AE18" s="1928"/>
      <c r="AF18" s="1929"/>
      <c r="AG18" s="370">
        <v>6</v>
      </c>
      <c r="AH18" s="965">
        <v>4.75</v>
      </c>
      <c r="AI18" s="966">
        <v>2</v>
      </c>
      <c r="AJ18" s="966">
        <v>4.75</v>
      </c>
      <c r="AK18" s="966">
        <v>4.75</v>
      </c>
      <c r="AL18" s="966">
        <v>4.75</v>
      </c>
      <c r="AM18" s="966">
        <v>4.75</v>
      </c>
      <c r="AN18" s="966">
        <v>4.75</v>
      </c>
      <c r="AO18" s="966"/>
      <c r="AP18" s="966"/>
      <c r="AQ18" s="966">
        <v>9.5</v>
      </c>
      <c r="AR18" s="966">
        <v>4.75</v>
      </c>
      <c r="AS18" s="966">
        <v>2</v>
      </c>
      <c r="AT18" s="966">
        <v>0.43</v>
      </c>
      <c r="AU18" s="966">
        <v>0.43</v>
      </c>
      <c r="AV18" s="966">
        <v>0.3</v>
      </c>
      <c r="AW18" s="966">
        <v>0.6</v>
      </c>
      <c r="AX18" s="989"/>
      <c r="AY18" s="966">
        <v>0.43</v>
      </c>
      <c r="AZ18" s="966">
        <v>2</v>
      </c>
      <c r="BA18" s="966">
        <v>4.75</v>
      </c>
      <c r="BB18" s="966">
        <v>4.75</v>
      </c>
      <c r="BC18" s="966">
        <v>4.75</v>
      </c>
      <c r="BD18" s="966">
        <v>2.36</v>
      </c>
      <c r="BE18" s="966">
        <v>4.75</v>
      </c>
      <c r="BF18" s="966"/>
      <c r="BG18" s="990">
        <v>25</v>
      </c>
      <c r="BH18" s="371"/>
      <c r="BI18" s="1002">
        <v>28</v>
      </c>
      <c r="BJ18" s="985">
        <v>20</v>
      </c>
      <c r="BK18" s="985">
        <v>25</v>
      </c>
      <c r="BL18" s="985">
        <v>28</v>
      </c>
      <c r="BM18" s="985">
        <v>25</v>
      </c>
      <c r="BN18" s="1003" t="s">
        <v>575</v>
      </c>
      <c r="BO18" s="1003" t="s">
        <v>575</v>
      </c>
      <c r="BP18" s="985"/>
      <c r="BQ18" s="985"/>
      <c r="BR18" s="985">
        <v>14.5</v>
      </c>
      <c r="BS18" s="1004" t="s">
        <v>575</v>
      </c>
      <c r="BT18" s="1004" t="s">
        <v>575</v>
      </c>
      <c r="BU18" s="985">
        <v>37.4</v>
      </c>
      <c r="BV18" s="985">
        <v>23</v>
      </c>
      <c r="BW18" s="985">
        <v>30</v>
      </c>
      <c r="BX18" s="985">
        <v>30</v>
      </c>
      <c r="BY18" s="977"/>
      <c r="BZ18" s="985">
        <v>15</v>
      </c>
      <c r="CA18" s="985">
        <v>30</v>
      </c>
      <c r="CB18" s="985">
        <v>42</v>
      </c>
      <c r="CC18" s="985">
        <v>43</v>
      </c>
      <c r="CD18" s="985">
        <v>28</v>
      </c>
      <c r="CE18" s="985">
        <v>14</v>
      </c>
      <c r="CF18" s="985">
        <v>30</v>
      </c>
      <c r="CG18" s="985"/>
      <c r="CH18" s="1004" t="s">
        <v>575</v>
      </c>
      <c r="CI18" s="1002">
        <v>50</v>
      </c>
      <c r="CJ18" s="985">
        <v>40</v>
      </c>
      <c r="CK18" s="985">
        <v>50</v>
      </c>
      <c r="CL18" s="985">
        <v>55</v>
      </c>
      <c r="CM18" s="985">
        <v>52</v>
      </c>
      <c r="CN18" s="985">
        <v>5</v>
      </c>
      <c r="CO18" s="985">
        <v>5</v>
      </c>
      <c r="CP18" s="985"/>
      <c r="CQ18" s="985"/>
      <c r="CR18" s="985">
        <v>22.5</v>
      </c>
      <c r="CS18" s="985">
        <v>5.6</v>
      </c>
      <c r="CT18" s="985">
        <v>5.3</v>
      </c>
      <c r="CU18" s="985">
        <v>43.4</v>
      </c>
      <c r="CV18" s="985">
        <v>29</v>
      </c>
      <c r="CW18" s="985">
        <v>50</v>
      </c>
      <c r="CX18" s="985">
        <v>55</v>
      </c>
      <c r="CY18" s="985"/>
      <c r="CZ18" s="985">
        <v>25</v>
      </c>
      <c r="DA18" s="985">
        <v>44</v>
      </c>
      <c r="DB18" s="985">
        <v>58</v>
      </c>
      <c r="DC18" s="985">
        <v>58</v>
      </c>
      <c r="DD18" s="985">
        <v>42</v>
      </c>
      <c r="DE18" s="985">
        <v>22</v>
      </c>
      <c r="DF18" s="985">
        <v>60</v>
      </c>
      <c r="DG18" s="985"/>
      <c r="DH18" s="1001">
        <v>100</v>
      </c>
    </row>
    <row r="19" spans="1:112" ht="15" customHeight="1">
      <c r="A19" s="1930" t="str">
        <f t="shared" si="5"/>
        <v/>
      </c>
      <c r="B19" s="1931"/>
      <c r="C19" s="1931"/>
      <c r="D19" s="1931"/>
      <c r="E19" s="1932" t="str">
        <f t="shared" si="3"/>
        <v/>
      </c>
      <c r="F19" s="1932"/>
      <c r="G19" s="1932"/>
      <c r="H19" s="1933"/>
      <c r="I19" s="1934" t="str">
        <f t="shared" si="4"/>
        <v/>
      </c>
      <c r="J19" s="1932"/>
      <c r="K19" s="1932"/>
      <c r="L19" s="1932"/>
      <c r="M19" s="1932"/>
      <c r="N19" s="1932"/>
      <c r="O19" s="1932"/>
      <c r="P19" s="1933"/>
      <c r="Q19" s="1935" t="str">
        <f>IF($I$11="","",IF(I19="","",(I19/$I$11)*100))</f>
        <v/>
      </c>
      <c r="R19" s="1935"/>
      <c r="S19" s="1935"/>
      <c r="T19" s="1936"/>
      <c r="U19" s="1937" t="str">
        <f t="shared" ref="U19:U20" si="6">IF($I$11="","",IF(Q19="","",(U18-Q19)))</f>
        <v/>
      </c>
      <c r="V19" s="1938"/>
      <c r="W19" s="1938"/>
      <c r="X19" s="1938"/>
      <c r="Y19" s="1927" t="str">
        <f t="shared" si="1"/>
        <v/>
      </c>
      <c r="Z19" s="1928"/>
      <c r="AA19" s="1928"/>
      <c r="AB19" s="1928"/>
      <c r="AC19" s="1927" t="str">
        <f t="shared" si="2"/>
        <v/>
      </c>
      <c r="AD19" s="1928"/>
      <c r="AE19" s="1928"/>
      <c r="AF19" s="1929"/>
      <c r="AG19" s="370">
        <v>7</v>
      </c>
      <c r="AH19" s="965">
        <v>2</v>
      </c>
      <c r="AI19" s="975">
        <v>0.43</v>
      </c>
      <c r="AJ19" s="966">
        <v>2</v>
      </c>
      <c r="AK19" s="966">
        <v>2</v>
      </c>
      <c r="AL19" s="966">
        <v>2</v>
      </c>
      <c r="AM19" s="966"/>
      <c r="AN19" s="966"/>
      <c r="AO19" s="966"/>
      <c r="AP19" s="966"/>
      <c r="AQ19" s="966">
        <v>4.75</v>
      </c>
      <c r="AR19" s="966">
        <v>2</v>
      </c>
      <c r="AS19" s="966">
        <v>0.43</v>
      </c>
      <c r="AT19" s="966">
        <v>0.18</v>
      </c>
      <c r="AU19" s="966">
        <v>0.18</v>
      </c>
      <c r="AV19" s="966">
        <v>0.15</v>
      </c>
      <c r="AW19" s="966">
        <v>0.3</v>
      </c>
      <c r="AX19" s="989"/>
      <c r="AY19" s="966">
        <v>0.18</v>
      </c>
      <c r="AZ19" s="966">
        <v>0.43</v>
      </c>
      <c r="BA19" s="966">
        <v>2</v>
      </c>
      <c r="BB19" s="966">
        <v>2.36</v>
      </c>
      <c r="BC19" s="966">
        <v>2.36</v>
      </c>
      <c r="BD19" s="966">
        <v>7.4999999999999997E-2</v>
      </c>
      <c r="BE19" s="966">
        <v>2</v>
      </c>
      <c r="BF19" s="966"/>
      <c r="BG19" s="990">
        <v>19</v>
      </c>
      <c r="BH19" s="371"/>
      <c r="BI19" s="1002">
        <v>15</v>
      </c>
      <c r="BJ19" s="985">
        <v>8</v>
      </c>
      <c r="BK19" s="985">
        <v>15</v>
      </c>
      <c r="BL19" s="985">
        <v>16</v>
      </c>
      <c r="BM19" s="985">
        <v>15</v>
      </c>
      <c r="BN19" s="985"/>
      <c r="BO19" s="985"/>
      <c r="BP19" s="985"/>
      <c r="BQ19" s="985"/>
      <c r="BR19" s="985">
        <v>0.7</v>
      </c>
      <c r="BS19" s="1004" t="s">
        <v>575</v>
      </c>
      <c r="BT19" s="1004" t="s">
        <v>575</v>
      </c>
      <c r="BU19" s="985">
        <v>21.8</v>
      </c>
      <c r="BV19" s="985">
        <v>8.1</v>
      </c>
      <c r="BW19" s="1004" t="s">
        <v>575</v>
      </c>
      <c r="BX19" s="985">
        <v>15</v>
      </c>
      <c r="BY19" s="977"/>
      <c r="BZ19" s="985">
        <v>9</v>
      </c>
      <c r="CA19" s="985">
        <v>14</v>
      </c>
      <c r="CB19" s="985">
        <v>27</v>
      </c>
      <c r="CC19" s="985">
        <v>30</v>
      </c>
      <c r="CD19" s="985">
        <v>14</v>
      </c>
      <c r="CE19" s="1004" t="s">
        <v>575</v>
      </c>
      <c r="CF19" s="985">
        <v>20</v>
      </c>
      <c r="CG19" s="985"/>
      <c r="CH19" s="1004" t="s">
        <v>575</v>
      </c>
      <c r="CI19" s="1002">
        <v>35</v>
      </c>
      <c r="CJ19" s="985">
        <v>22</v>
      </c>
      <c r="CK19" s="985">
        <v>35</v>
      </c>
      <c r="CL19" s="985">
        <v>40</v>
      </c>
      <c r="CM19" s="985">
        <v>40</v>
      </c>
      <c r="CN19" s="985"/>
      <c r="CO19" s="985"/>
      <c r="CP19" s="985"/>
      <c r="CQ19" s="985"/>
      <c r="CR19" s="985">
        <v>8.6999999999999993</v>
      </c>
      <c r="CS19" s="985">
        <v>5</v>
      </c>
      <c r="CT19" s="985">
        <v>4.5999999999999996</v>
      </c>
      <c r="CU19" s="985">
        <v>27.8</v>
      </c>
      <c r="CV19" s="985">
        <v>14.1</v>
      </c>
      <c r="CW19" s="985">
        <v>20</v>
      </c>
      <c r="CX19" s="985">
        <v>35</v>
      </c>
      <c r="CY19" s="985"/>
      <c r="CZ19" s="985">
        <v>18</v>
      </c>
      <c r="DA19" s="985">
        <v>22</v>
      </c>
      <c r="DB19" s="985">
        <v>41</v>
      </c>
      <c r="DC19" s="985">
        <v>45</v>
      </c>
      <c r="DD19" s="985">
        <v>22</v>
      </c>
      <c r="DE19" s="985">
        <v>6</v>
      </c>
      <c r="DF19" s="985">
        <v>45</v>
      </c>
      <c r="DG19" s="985"/>
      <c r="DH19" s="1001">
        <v>100</v>
      </c>
    </row>
    <row r="20" spans="1:112" ht="15" customHeight="1">
      <c r="A20" s="1930" t="str">
        <f t="shared" si="5"/>
        <v/>
      </c>
      <c r="B20" s="1931"/>
      <c r="C20" s="1931"/>
      <c r="D20" s="1931"/>
      <c r="E20" s="1932" t="str">
        <f t="shared" si="3"/>
        <v/>
      </c>
      <c r="F20" s="1932"/>
      <c r="G20" s="1932"/>
      <c r="H20" s="1933"/>
      <c r="I20" s="1934" t="str">
        <f t="shared" si="4"/>
        <v/>
      </c>
      <c r="J20" s="1932"/>
      <c r="K20" s="1932"/>
      <c r="L20" s="1932"/>
      <c r="M20" s="1932"/>
      <c r="N20" s="1932"/>
      <c r="O20" s="1932"/>
      <c r="P20" s="1933"/>
      <c r="Q20" s="1935" t="str">
        <f>IF($I$11="","",IF(I20="","",(I20/$I$11)*100))</f>
        <v/>
      </c>
      <c r="R20" s="1935"/>
      <c r="S20" s="1935"/>
      <c r="T20" s="1936"/>
      <c r="U20" s="1937" t="str">
        <f t="shared" si="6"/>
        <v/>
      </c>
      <c r="V20" s="1938"/>
      <c r="W20" s="1938"/>
      <c r="X20" s="1938"/>
      <c r="Y20" s="1927" t="str">
        <f t="shared" si="1"/>
        <v/>
      </c>
      <c r="Z20" s="1928"/>
      <c r="AA20" s="1928"/>
      <c r="AB20" s="1928"/>
      <c r="AC20" s="1927" t="str">
        <f t="shared" si="2"/>
        <v/>
      </c>
      <c r="AD20" s="1928"/>
      <c r="AE20" s="1928"/>
      <c r="AF20" s="1929"/>
      <c r="AG20" s="370">
        <v>8</v>
      </c>
      <c r="AH20" s="984">
        <v>0.43</v>
      </c>
      <c r="AI20" s="966">
        <v>7.4999999999999997E-2</v>
      </c>
      <c r="AJ20" s="975">
        <v>0.43</v>
      </c>
      <c r="AK20" s="975">
        <v>0.43</v>
      </c>
      <c r="AL20" s="975">
        <v>0.43</v>
      </c>
      <c r="AM20" s="975"/>
      <c r="AN20" s="975"/>
      <c r="AO20" s="975"/>
      <c r="AP20" s="975"/>
      <c r="AQ20" s="966">
        <v>2</v>
      </c>
      <c r="AR20" s="966">
        <v>0.43</v>
      </c>
      <c r="AS20" s="966">
        <v>0.18</v>
      </c>
      <c r="AT20" s="966">
        <v>7.4999999999999997E-2</v>
      </c>
      <c r="AU20" s="966">
        <v>7.4999999999999997E-2</v>
      </c>
      <c r="AV20" s="966">
        <v>7.4999999999999997E-2</v>
      </c>
      <c r="AW20" s="966">
        <v>0.15</v>
      </c>
      <c r="AX20" s="989"/>
      <c r="AY20" s="966">
        <v>7.4999999999999997E-2</v>
      </c>
      <c r="AZ20" s="966">
        <v>0.18</v>
      </c>
      <c r="BA20" s="966">
        <v>0.43</v>
      </c>
      <c r="BB20" s="966">
        <v>7.4999999999999997E-2</v>
      </c>
      <c r="BC20" s="966">
        <v>7.4999999999999997E-2</v>
      </c>
      <c r="BD20" s="966"/>
      <c r="BE20" s="966">
        <v>0.43</v>
      </c>
      <c r="BF20" s="966"/>
      <c r="BG20" s="991"/>
      <c r="BH20" s="373"/>
      <c r="BI20" s="1002">
        <v>6</v>
      </c>
      <c r="BJ20" s="985">
        <v>2</v>
      </c>
      <c r="BK20" s="985">
        <v>6</v>
      </c>
      <c r="BL20" s="985">
        <v>6</v>
      </c>
      <c r="BM20" s="996">
        <v>6</v>
      </c>
      <c r="BN20" s="996"/>
      <c r="BO20" s="996"/>
      <c r="BP20" s="996"/>
      <c r="BQ20" s="996"/>
      <c r="BR20" s="985">
        <v>0.4</v>
      </c>
      <c r="BS20" s="1004" t="s">
        <v>575</v>
      </c>
      <c r="BT20" s="1004" t="s">
        <v>575</v>
      </c>
      <c r="BU20" s="985">
        <v>12.3</v>
      </c>
      <c r="BV20" s="985">
        <v>4.0999999999999996</v>
      </c>
      <c r="BW20" s="1004" t="s">
        <v>575</v>
      </c>
      <c r="BX20" s="985">
        <v>2</v>
      </c>
      <c r="BY20" s="977"/>
      <c r="BZ20" s="985">
        <v>5</v>
      </c>
      <c r="CA20" s="985">
        <v>8</v>
      </c>
      <c r="CB20" s="985">
        <v>12</v>
      </c>
      <c r="CC20" s="996">
        <v>7</v>
      </c>
      <c r="CD20" s="1004" t="s">
        <v>575</v>
      </c>
      <c r="CE20" s="996"/>
      <c r="CF20" s="996">
        <v>10</v>
      </c>
      <c r="CG20" s="996"/>
      <c r="CH20" s="995"/>
      <c r="CI20" s="1002">
        <v>20</v>
      </c>
      <c r="CJ20" s="985">
        <v>10</v>
      </c>
      <c r="CK20" s="985">
        <v>20</v>
      </c>
      <c r="CL20" s="985">
        <v>22</v>
      </c>
      <c r="CM20" s="985">
        <v>25</v>
      </c>
      <c r="CN20" s="985"/>
      <c r="CO20" s="985"/>
      <c r="CP20" s="985"/>
      <c r="CQ20" s="985"/>
      <c r="CR20" s="985">
        <v>6.4</v>
      </c>
      <c r="CS20" s="985">
        <v>5</v>
      </c>
      <c r="CT20" s="985">
        <v>4.0999999999999996</v>
      </c>
      <c r="CU20" s="985">
        <v>14.3</v>
      </c>
      <c r="CV20" s="985">
        <v>6.1</v>
      </c>
      <c r="CW20" s="985">
        <v>5</v>
      </c>
      <c r="CX20" s="985">
        <v>20</v>
      </c>
      <c r="CY20" s="985"/>
      <c r="CZ20" s="985">
        <v>10</v>
      </c>
      <c r="DA20" s="985">
        <v>16</v>
      </c>
      <c r="DB20" s="985">
        <v>22</v>
      </c>
      <c r="DC20" s="985">
        <v>10</v>
      </c>
      <c r="DD20" s="985">
        <v>6</v>
      </c>
      <c r="DE20" s="985"/>
      <c r="DF20" s="985">
        <v>30</v>
      </c>
      <c r="DG20" s="985"/>
      <c r="DH20" s="1001"/>
    </row>
    <row r="21" spans="1:112" ht="15" customHeight="1">
      <c r="A21" s="1930" t="str">
        <f t="shared" si="5"/>
        <v/>
      </c>
      <c r="B21" s="1931"/>
      <c r="C21" s="1931"/>
      <c r="D21" s="1931"/>
      <c r="E21" s="1932" t="str">
        <f t="shared" si="3"/>
        <v/>
      </c>
      <c r="F21" s="1932"/>
      <c r="G21" s="1932"/>
      <c r="H21" s="1933"/>
      <c r="I21" s="1934" t="str">
        <f t="shared" si="4"/>
        <v/>
      </c>
      <c r="J21" s="1932"/>
      <c r="K21" s="1932"/>
      <c r="L21" s="1932"/>
      <c r="M21" s="1932"/>
      <c r="N21" s="1932"/>
      <c r="O21" s="1932"/>
      <c r="P21" s="1933"/>
      <c r="Q21" s="1935" t="str">
        <f t="shared" si="0"/>
        <v/>
      </c>
      <c r="R21" s="1935"/>
      <c r="S21" s="1935"/>
      <c r="T21" s="1936"/>
      <c r="U21" s="1937" t="str">
        <f>IF($I$11="","",IF(Q21="","",(U20-Q21)))</f>
        <v/>
      </c>
      <c r="V21" s="1938"/>
      <c r="W21" s="1938"/>
      <c r="X21" s="1938"/>
      <c r="Y21" s="1927" t="str">
        <f t="shared" si="1"/>
        <v/>
      </c>
      <c r="Z21" s="1928"/>
      <c r="AA21" s="1928"/>
      <c r="AB21" s="1928"/>
      <c r="AC21" s="1927" t="str">
        <f t="shared" si="2"/>
        <v/>
      </c>
      <c r="AD21" s="1928"/>
      <c r="AE21" s="1928"/>
      <c r="AF21" s="1929"/>
      <c r="AG21" s="370">
        <v>9</v>
      </c>
      <c r="AH21" s="965">
        <v>7.4999999999999997E-2</v>
      </c>
      <c r="AI21" s="966"/>
      <c r="AJ21" s="966">
        <v>7.4999999999999997E-2</v>
      </c>
      <c r="AK21" s="966">
        <v>7.4999999999999997E-2</v>
      </c>
      <c r="AL21" s="966">
        <v>7.4999999999999997E-2</v>
      </c>
      <c r="AM21" s="966"/>
      <c r="AN21" s="966"/>
      <c r="AO21" s="966"/>
      <c r="AP21" s="966"/>
      <c r="AQ21" s="966">
        <v>0.43</v>
      </c>
      <c r="AR21" s="976">
        <v>0.18</v>
      </c>
      <c r="AS21" s="966">
        <v>7.4999999999999997E-2</v>
      </c>
      <c r="AT21" s="966"/>
      <c r="AU21" s="966"/>
      <c r="AV21" s="966"/>
      <c r="AW21" s="966">
        <v>7.4999999999999997E-2</v>
      </c>
      <c r="AX21" s="989"/>
      <c r="AY21" s="966"/>
      <c r="AZ21" s="966">
        <v>7.4999999999999997E-2</v>
      </c>
      <c r="BA21" s="966">
        <v>0.18</v>
      </c>
      <c r="BB21" s="966"/>
      <c r="BC21" s="966"/>
      <c r="BD21" s="966"/>
      <c r="BE21" s="966">
        <v>7.4999999999999997E-2</v>
      </c>
      <c r="BF21" s="966"/>
      <c r="BG21" s="990"/>
      <c r="BH21" s="371"/>
      <c r="BI21" s="1002">
        <v>2</v>
      </c>
      <c r="BJ21" s="985"/>
      <c r="BK21" s="1003" t="s">
        <v>575</v>
      </c>
      <c r="BL21" s="1003" t="s">
        <v>575</v>
      </c>
      <c r="BM21" s="1003" t="s">
        <v>575</v>
      </c>
      <c r="BN21" s="985"/>
      <c r="BO21" s="985"/>
      <c r="BP21" s="985"/>
      <c r="BQ21" s="985"/>
      <c r="BR21" s="1003" t="s">
        <v>575</v>
      </c>
      <c r="BS21" s="1004" t="s">
        <v>575</v>
      </c>
      <c r="BT21" s="1004" t="s">
        <v>575</v>
      </c>
      <c r="BW21" s="985"/>
      <c r="BX21" s="1004" t="s">
        <v>575</v>
      </c>
      <c r="BY21" s="977"/>
      <c r="BZ21" s="985"/>
      <c r="CA21" s="985">
        <v>4</v>
      </c>
      <c r="CB21" s="985">
        <v>8</v>
      </c>
      <c r="CC21" s="985"/>
      <c r="CD21" s="985"/>
      <c r="CE21" s="985"/>
      <c r="CF21" s="985">
        <v>5</v>
      </c>
      <c r="CG21" s="985"/>
      <c r="CH21" s="985"/>
      <c r="CI21" s="1002">
        <v>10</v>
      </c>
      <c r="CJ21" s="985"/>
      <c r="CK21" s="985">
        <v>10</v>
      </c>
      <c r="CL21" s="985">
        <v>12</v>
      </c>
      <c r="CM21" s="985">
        <v>14</v>
      </c>
      <c r="CN21" s="985"/>
      <c r="CO21" s="985"/>
      <c r="CP21" s="985"/>
      <c r="CQ21" s="985"/>
      <c r="CR21" s="985">
        <v>6</v>
      </c>
      <c r="CS21" s="985">
        <v>5</v>
      </c>
      <c r="CT21" s="985">
        <v>1.8</v>
      </c>
      <c r="CU21" s="979"/>
      <c r="CV21" s="979"/>
      <c r="CW21" s="985"/>
      <c r="CX21" s="985">
        <v>5</v>
      </c>
      <c r="CY21" s="985"/>
      <c r="CZ21" s="985"/>
      <c r="DA21" s="985">
        <v>9</v>
      </c>
      <c r="DB21" s="985">
        <v>16</v>
      </c>
      <c r="DC21" s="985"/>
      <c r="DD21" s="985"/>
      <c r="DE21" s="985"/>
      <c r="DF21" s="985">
        <v>20</v>
      </c>
      <c r="DG21" s="985"/>
      <c r="DH21" s="1001"/>
    </row>
    <row r="22" spans="1:112" ht="15" customHeight="1">
      <c r="A22" s="1930" t="str">
        <f t="shared" si="5"/>
        <v/>
      </c>
      <c r="B22" s="1931"/>
      <c r="C22" s="1931"/>
      <c r="D22" s="1931"/>
      <c r="E22" s="1932" t="str">
        <f t="shared" si="3"/>
        <v/>
      </c>
      <c r="F22" s="1932"/>
      <c r="G22" s="1932"/>
      <c r="H22" s="1933"/>
      <c r="I22" s="1934" t="str">
        <f t="shared" si="4"/>
        <v/>
      </c>
      <c r="J22" s="1932"/>
      <c r="K22" s="1932"/>
      <c r="L22" s="1932"/>
      <c r="M22" s="1932"/>
      <c r="N22" s="1932"/>
      <c r="O22" s="1932"/>
      <c r="P22" s="1933"/>
      <c r="Q22" s="1935" t="str">
        <f t="shared" si="0"/>
        <v/>
      </c>
      <c r="R22" s="1935"/>
      <c r="S22" s="1935"/>
      <c r="T22" s="1936"/>
      <c r="U22" s="1937" t="str">
        <f>IF($I$11="","",IF(Q22="","",IF(U21="",(U20-Q22),(U21-Q22))))</f>
        <v/>
      </c>
      <c r="V22" s="1938"/>
      <c r="W22" s="1938"/>
      <c r="X22" s="1939"/>
      <c r="Y22" s="1927" t="str">
        <f t="shared" si="1"/>
        <v/>
      </c>
      <c r="Z22" s="1928"/>
      <c r="AA22" s="1928"/>
      <c r="AB22" s="1929"/>
      <c r="AC22" s="1927" t="str">
        <f t="shared" si="2"/>
        <v/>
      </c>
      <c r="AD22" s="1928"/>
      <c r="AE22" s="1928"/>
      <c r="AF22" s="1929"/>
      <c r="AG22" s="370">
        <v>10</v>
      </c>
      <c r="AH22" s="984"/>
      <c r="AI22" s="975"/>
      <c r="AJ22" s="971"/>
      <c r="AK22" s="975"/>
      <c r="AL22" s="975"/>
      <c r="AM22" s="975"/>
      <c r="AN22" s="975"/>
      <c r="AO22" s="975"/>
      <c r="AP22" s="975"/>
      <c r="AQ22" s="975">
        <v>0.18</v>
      </c>
      <c r="AR22" s="975">
        <v>7.4999999999999997E-2</v>
      </c>
      <c r="AS22" s="975"/>
      <c r="AT22" s="975"/>
      <c r="AU22" s="975"/>
      <c r="AV22" s="975"/>
      <c r="AW22" s="975"/>
      <c r="AX22" s="989"/>
      <c r="AY22" s="975"/>
      <c r="AZ22" s="974"/>
      <c r="BA22" s="966">
        <v>7.4999999999999997E-2</v>
      </c>
      <c r="BB22" s="974"/>
      <c r="BC22" s="974"/>
      <c r="BD22" s="974"/>
      <c r="BE22" s="974"/>
      <c r="BF22" s="974"/>
      <c r="BG22" s="992"/>
      <c r="BH22" s="372"/>
      <c r="BI22" s="997"/>
      <c r="BJ22" s="985"/>
      <c r="BK22" s="996"/>
      <c r="BL22" s="1005"/>
      <c r="BM22" s="996"/>
      <c r="BN22" s="996"/>
      <c r="BO22" s="996"/>
      <c r="BP22" s="996"/>
      <c r="BQ22" s="996"/>
      <c r="BR22" s="1003" t="s">
        <v>575</v>
      </c>
      <c r="BS22" s="1004" t="s">
        <v>575</v>
      </c>
      <c r="BT22" s="996"/>
      <c r="BW22" s="996"/>
      <c r="BX22" s="996"/>
      <c r="BY22" s="977"/>
      <c r="BZ22" s="332"/>
      <c r="CA22" s="985"/>
      <c r="CB22" s="985">
        <v>4</v>
      </c>
      <c r="CC22" s="995"/>
      <c r="CD22" s="995"/>
      <c r="CE22" s="995"/>
      <c r="CF22" s="995"/>
      <c r="CG22" s="995"/>
      <c r="CH22" s="995"/>
      <c r="CI22" s="1007"/>
      <c r="CJ22" s="985"/>
      <c r="CK22" s="985"/>
      <c r="CL22" s="985"/>
      <c r="CM22" s="985"/>
      <c r="CN22" s="985"/>
      <c r="CO22" s="985"/>
      <c r="CP22" s="985"/>
      <c r="CQ22" s="985"/>
      <c r="CR22" s="985">
        <v>5.8</v>
      </c>
      <c r="CS22" s="985">
        <v>2</v>
      </c>
      <c r="CT22" s="979"/>
      <c r="CU22" s="979"/>
      <c r="CV22" s="979"/>
      <c r="CW22" s="985"/>
      <c r="CX22" s="985"/>
      <c r="CY22" s="985"/>
      <c r="CZ22" s="985"/>
      <c r="DA22" s="985"/>
      <c r="DB22" s="985">
        <v>9</v>
      </c>
      <c r="DC22" s="985"/>
      <c r="DD22" s="985"/>
      <c r="DE22" s="985"/>
      <c r="DF22" s="985"/>
      <c r="DG22" s="985"/>
      <c r="DH22" s="1001"/>
    </row>
    <row r="23" spans="1:112" ht="15" customHeight="1">
      <c r="A23" s="1930" t="str">
        <f t="shared" si="5"/>
        <v/>
      </c>
      <c r="B23" s="1931"/>
      <c r="C23" s="1931"/>
      <c r="D23" s="1931"/>
      <c r="E23" s="1932" t="str">
        <f t="shared" si="3"/>
        <v/>
      </c>
      <c r="F23" s="1932"/>
      <c r="G23" s="1932"/>
      <c r="H23" s="1933"/>
      <c r="I23" s="1934" t="str">
        <f t="shared" si="4"/>
        <v/>
      </c>
      <c r="J23" s="1932"/>
      <c r="K23" s="1932"/>
      <c r="L23" s="1932"/>
      <c r="M23" s="1932"/>
      <c r="N23" s="1932"/>
      <c r="O23" s="1932"/>
      <c r="P23" s="1933"/>
      <c r="Q23" s="1935" t="str">
        <f t="shared" si="0"/>
        <v/>
      </c>
      <c r="R23" s="1935"/>
      <c r="S23" s="1935"/>
      <c r="T23" s="1936"/>
      <c r="U23" s="1937" t="str">
        <f>IF($I$11="","",IF(Q23="","",IF(U22="",(U21-Q23),(U22-Q23))))</f>
        <v/>
      </c>
      <c r="V23" s="1938"/>
      <c r="W23" s="1938"/>
      <c r="X23" s="1939"/>
      <c r="Y23" s="1927" t="str">
        <f t="shared" si="1"/>
        <v/>
      </c>
      <c r="Z23" s="1928"/>
      <c r="AA23" s="1928"/>
      <c r="AB23" s="1929"/>
      <c r="AC23" s="1927" t="str">
        <f t="shared" si="2"/>
        <v/>
      </c>
      <c r="AD23" s="1928"/>
      <c r="AE23" s="1928"/>
      <c r="AF23" s="1929"/>
      <c r="AG23" s="370">
        <v>11</v>
      </c>
      <c r="AH23" s="965"/>
      <c r="AI23" s="966"/>
      <c r="AJ23" s="966"/>
      <c r="AK23" s="966"/>
      <c r="AL23" s="966"/>
      <c r="AM23" s="966"/>
      <c r="AN23" s="966"/>
      <c r="AO23" s="966"/>
      <c r="AP23" s="966"/>
      <c r="AQ23" s="966">
        <v>7.4999999999999997E-2</v>
      </c>
      <c r="AR23" s="966"/>
      <c r="AS23" s="966"/>
      <c r="AT23" s="966"/>
      <c r="AU23" s="966"/>
      <c r="AV23" s="966"/>
      <c r="AW23" s="966"/>
      <c r="AX23" s="989"/>
      <c r="AY23" s="966"/>
      <c r="AZ23" s="966"/>
      <c r="BA23" s="966"/>
      <c r="BB23" s="966"/>
      <c r="BC23" s="966"/>
      <c r="BD23" s="966"/>
      <c r="BE23" s="966"/>
      <c r="BF23" s="966"/>
      <c r="BG23" s="990"/>
      <c r="BH23" s="371"/>
      <c r="BI23" s="1002"/>
      <c r="BJ23" s="1005"/>
      <c r="BK23" s="1005"/>
      <c r="BL23" s="1005"/>
      <c r="BM23" s="985"/>
      <c r="BN23" s="985"/>
      <c r="BO23" s="985"/>
      <c r="BP23" s="985"/>
      <c r="BQ23" s="985"/>
      <c r="BR23" s="1003" t="s">
        <v>575</v>
      </c>
      <c r="BS23" s="985"/>
      <c r="BT23" s="985">
        <v>0</v>
      </c>
      <c r="BU23" s="1005"/>
      <c r="BV23" s="1005"/>
      <c r="BW23" s="985"/>
      <c r="BX23" s="985"/>
      <c r="BY23" s="977"/>
      <c r="BZ23" s="985"/>
      <c r="CA23" s="332"/>
      <c r="CB23" s="985"/>
      <c r="CC23" s="985"/>
      <c r="CD23" s="985"/>
      <c r="CE23" s="985"/>
      <c r="CF23" s="985"/>
      <c r="CG23" s="985"/>
      <c r="CH23" s="985"/>
      <c r="CI23" s="1002"/>
      <c r="CJ23" s="986"/>
      <c r="CK23" s="985"/>
      <c r="CL23" s="986"/>
      <c r="CM23" s="985"/>
      <c r="CN23" s="985"/>
      <c r="CO23" s="985"/>
      <c r="CP23" s="985"/>
      <c r="CQ23" s="985"/>
      <c r="CR23" s="985">
        <v>3</v>
      </c>
      <c r="CS23" s="979"/>
      <c r="CT23" s="979"/>
      <c r="CU23" s="979"/>
      <c r="CV23" s="979"/>
      <c r="CW23" s="985"/>
      <c r="CX23" s="985"/>
      <c r="CY23" s="985"/>
      <c r="CZ23" s="979"/>
      <c r="DA23" s="979"/>
      <c r="DB23" s="979"/>
      <c r="DC23" s="985"/>
      <c r="DD23" s="985"/>
      <c r="DE23" s="985"/>
      <c r="DF23" s="985"/>
      <c r="DG23" s="985"/>
      <c r="DH23" s="1001"/>
    </row>
    <row r="24" spans="1:112" ht="15" customHeight="1">
      <c r="A24" s="1917" t="s">
        <v>51</v>
      </c>
      <c r="B24" s="1918"/>
      <c r="C24" s="1918"/>
      <c r="D24" s="1918"/>
      <c r="E24" s="1919" t="s">
        <v>379</v>
      </c>
      <c r="F24" s="1919"/>
      <c r="G24" s="1919"/>
      <c r="H24" s="1920"/>
      <c r="I24" s="1921">
        <f t="shared" si="4"/>
        <v>0</v>
      </c>
      <c r="J24" s="1919"/>
      <c r="K24" s="1919"/>
      <c r="L24" s="1919"/>
      <c r="M24" s="1919"/>
      <c r="N24" s="1919"/>
      <c r="O24" s="1919"/>
      <c r="P24" s="1920"/>
      <c r="Q24" s="1922" t="str">
        <f t="shared" si="0"/>
        <v/>
      </c>
      <c r="R24" s="1922"/>
      <c r="S24" s="1922"/>
      <c r="T24" s="1923"/>
      <c r="U24" s="1924" t="str">
        <f>IF($I$11="","",IF(Q24="","",IF(AND(U17="",U18="",U19="",U20="",U21="",U22="",U23=""),(U16-Q24),IF(AND(U18="",U19="",U20="",U21="",U22="",U23=""),(U17-Q24),IF(AND(U19="",U20="",U21="",U22="",U23=""),(U18-Q24),IF(AND(U20="",U21="",U22="",U23=""),(U19-Q24),IF(AND(U21="",U22="",U23=""),(U20-Q24),IF(AND(U23="",U22=""),(U21-Q24),IF(U23="",(U22-Q24),(U23-Q24))))))))))</f>
        <v/>
      </c>
      <c r="V24" s="1925"/>
      <c r="W24" s="1925"/>
      <c r="X24" s="1926"/>
      <c r="Y24" s="1914" t="str">
        <f t="shared" si="1"/>
        <v/>
      </c>
      <c r="Z24" s="1915"/>
      <c r="AA24" s="1915"/>
      <c r="AB24" s="1916"/>
      <c r="AC24" s="1914" t="str">
        <f t="shared" si="2"/>
        <v/>
      </c>
      <c r="AD24" s="1915"/>
      <c r="AE24" s="1915"/>
      <c r="AF24" s="1916"/>
      <c r="AG24" s="370">
        <v>12</v>
      </c>
      <c r="AH24" s="984"/>
      <c r="AI24" s="975"/>
      <c r="AJ24" s="975"/>
      <c r="AK24" s="975"/>
      <c r="AL24" s="975"/>
      <c r="AM24" s="975"/>
      <c r="AN24" s="975"/>
      <c r="AO24" s="975"/>
      <c r="AP24" s="975"/>
      <c r="AQ24" s="975"/>
      <c r="AR24" s="975"/>
      <c r="AS24" s="975"/>
      <c r="AT24" s="975"/>
      <c r="AU24" s="975"/>
      <c r="AV24" s="975"/>
      <c r="AW24" s="975"/>
      <c r="AX24" s="989"/>
      <c r="AY24" s="975"/>
      <c r="AZ24" s="974"/>
      <c r="BA24" s="974"/>
      <c r="BB24" s="974"/>
      <c r="BC24" s="974"/>
      <c r="BD24" s="974"/>
      <c r="BE24" s="974"/>
      <c r="BF24" s="974"/>
      <c r="BG24" s="992"/>
      <c r="BH24" s="372"/>
      <c r="BI24" s="997"/>
      <c r="BJ24" s="985"/>
      <c r="BK24" s="996"/>
      <c r="BL24" s="1005"/>
      <c r="BM24" s="996"/>
      <c r="BN24" s="996"/>
      <c r="BO24" s="996"/>
      <c r="BP24" s="996"/>
      <c r="BQ24" s="996"/>
      <c r="BR24" s="1005"/>
      <c r="BS24" s="996"/>
      <c r="BT24" s="996"/>
      <c r="BU24" s="1005"/>
      <c r="BV24" s="1005"/>
      <c r="BW24" s="996"/>
      <c r="BX24" s="996"/>
      <c r="BY24" s="977"/>
      <c r="BZ24" s="332"/>
      <c r="CA24" s="985"/>
      <c r="CB24" s="332"/>
      <c r="CC24" s="995"/>
      <c r="CD24" s="995"/>
      <c r="CE24" s="995"/>
      <c r="CF24" s="995"/>
      <c r="CG24" s="995"/>
      <c r="CH24" s="995"/>
      <c r="CI24" s="1002"/>
      <c r="CJ24" s="986"/>
      <c r="CK24" s="986"/>
      <c r="CL24" s="986"/>
      <c r="CM24" s="985"/>
      <c r="CN24" s="985"/>
      <c r="CO24" s="985"/>
      <c r="CP24" s="985"/>
      <c r="CQ24" s="985"/>
      <c r="CR24" s="1008"/>
      <c r="CS24" s="979"/>
      <c r="CT24" s="979"/>
      <c r="CU24" s="979"/>
      <c r="CV24" s="979"/>
      <c r="CW24" s="985"/>
      <c r="CX24" s="985"/>
      <c r="CY24" s="985"/>
      <c r="CZ24" s="985"/>
      <c r="DA24" s="985"/>
      <c r="DB24" s="985"/>
      <c r="DC24" s="985"/>
      <c r="DD24" s="985"/>
      <c r="DE24" s="985"/>
      <c r="DF24" s="985"/>
      <c r="DG24" s="985"/>
      <c r="DH24" s="1001"/>
    </row>
    <row r="25" spans="1:112" ht="14.1" customHeight="1">
      <c r="A25" s="1905"/>
      <c r="B25" s="1906"/>
      <c r="C25" s="1906"/>
      <c r="D25" s="1906"/>
      <c r="E25" s="351"/>
      <c r="F25" s="351"/>
      <c r="G25" s="1907"/>
      <c r="H25" s="1907"/>
      <c r="I25" s="352"/>
      <c r="J25" s="352"/>
      <c r="K25" s="1908"/>
      <c r="L25" s="1908"/>
      <c r="M25" s="353"/>
      <c r="N25" s="353"/>
      <c r="O25" s="353"/>
      <c r="P25" s="353"/>
      <c r="Q25" s="1307"/>
      <c r="R25" s="1307"/>
      <c r="S25" s="1307"/>
      <c r="T25" s="1308"/>
      <c r="U25" s="1909"/>
      <c r="V25" s="1909"/>
      <c r="W25" s="1909"/>
      <c r="X25" s="1308"/>
      <c r="Y25" s="1907"/>
      <c r="Z25" s="1907"/>
      <c r="AA25" s="1907"/>
      <c r="AB25" s="1907"/>
      <c r="AC25" s="1907"/>
      <c r="AD25" s="1306"/>
      <c r="AE25" s="354"/>
      <c r="AF25" s="355"/>
      <c r="AG25" s="370">
        <v>13</v>
      </c>
      <c r="AH25" s="965"/>
      <c r="AI25" s="966"/>
      <c r="AJ25" s="966"/>
      <c r="AK25" s="966"/>
      <c r="AL25" s="966"/>
      <c r="AM25" s="966"/>
      <c r="AN25" s="966"/>
      <c r="AO25" s="966"/>
      <c r="AP25" s="966"/>
      <c r="AQ25" s="966"/>
      <c r="AR25" s="976"/>
      <c r="AS25" s="966"/>
      <c r="AT25" s="966"/>
      <c r="AU25" s="966"/>
      <c r="AV25" s="966"/>
      <c r="AW25" s="966"/>
      <c r="AX25" s="989"/>
      <c r="AY25" s="966"/>
      <c r="AZ25" s="966"/>
      <c r="BA25" s="966"/>
      <c r="BB25" s="966"/>
      <c r="BC25" s="966"/>
      <c r="BD25" s="966"/>
      <c r="BE25" s="966"/>
      <c r="BF25" s="966"/>
      <c r="BG25" s="990"/>
      <c r="BH25" s="371"/>
      <c r="BI25" s="1002"/>
      <c r="BJ25" s="985"/>
      <c r="BK25" s="1005"/>
      <c r="BL25" s="1005"/>
      <c r="BM25" s="985"/>
      <c r="BN25" s="985"/>
      <c r="BO25" s="985"/>
      <c r="BP25" s="985"/>
      <c r="BQ25" s="985"/>
      <c r="BR25" s="1005"/>
      <c r="BS25" s="1004"/>
      <c r="BT25" s="985">
        <v>0</v>
      </c>
      <c r="BU25" s="1005"/>
      <c r="BV25" s="1005"/>
      <c r="BW25" s="985"/>
      <c r="BX25" s="985"/>
      <c r="BY25" s="977"/>
      <c r="BZ25" s="985"/>
      <c r="CA25" s="332"/>
      <c r="CB25" s="985"/>
      <c r="CC25" s="985"/>
      <c r="CD25" s="985"/>
      <c r="CE25" s="985"/>
      <c r="CF25" s="985"/>
      <c r="CG25" s="985"/>
      <c r="CH25" s="985"/>
      <c r="CI25" s="1002"/>
      <c r="CJ25" s="986"/>
      <c r="CK25" s="986"/>
      <c r="CL25" s="986"/>
      <c r="CM25" s="985"/>
      <c r="CN25" s="985"/>
      <c r="CO25" s="985"/>
      <c r="CP25" s="985"/>
      <c r="CQ25" s="985"/>
      <c r="CR25" s="985"/>
      <c r="CS25" s="979"/>
      <c r="CT25" s="979"/>
      <c r="CU25" s="979"/>
      <c r="CV25" s="979"/>
      <c r="CW25" s="985"/>
      <c r="CX25" s="985"/>
      <c r="CY25" s="985"/>
      <c r="CZ25" s="979"/>
      <c r="DA25" s="979"/>
      <c r="DB25" s="985"/>
      <c r="DC25" s="985"/>
      <c r="DD25" s="985"/>
      <c r="DE25" s="985"/>
      <c r="DF25" s="985"/>
      <c r="DG25" s="985"/>
      <c r="DH25" s="1001"/>
    </row>
    <row r="26" spans="1:112" ht="14.1" customHeight="1">
      <c r="A26" s="345"/>
      <c r="B26" s="346"/>
      <c r="C26" s="346"/>
      <c r="D26" s="346"/>
      <c r="E26" s="346"/>
      <c r="F26" s="346"/>
      <c r="G26" s="346"/>
      <c r="H26" s="346"/>
      <c r="I26" s="346"/>
      <c r="J26" s="346"/>
      <c r="K26" s="346"/>
      <c r="L26" s="347"/>
      <c r="M26" s="346"/>
      <c r="N26" s="346"/>
      <c r="O26" s="346"/>
      <c r="P26" s="346"/>
      <c r="Q26" s="1908"/>
      <c r="R26" s="1908"/>
      <c r="S26" s="1908"/>
      <c r="T26" s="1908"/>
      <c r="U26" s="346"/>
      <c r="V26" s="346"/>
      <c r="W26" s="346"/>
      <c r="X26" s="346"/>
      <c r="Y26" s="346" t="e">
        <f>IF(#REF!=#REF!,45,IF(#REF!=#REF!,50,IF(#REF!=#REF!,40,IF(#REF!=#REF!,45,0))))+IF(#REF!=#REF!,40,IF(#REF!=#REF!,50,IF(#REF!=#REF!,36,IF(#REF!=460,IF(#REF!=#REF!,65,IF(#REF!=BJ13,40,IF(#REF!=#REF!,45,IF(#REF!=#REF!,45,IF(#REF!=#REF!,50,#REF!))))))+IF(#REF!=#REF!,0,IF(#REF!=#REF!,0,IF(#REF!=#REF!,0,IF(#REF!=#REF!,0,#REF!))))+IF(#REF!=#REF!,0,IF(#REF!=#REF!,100,IF(#REF!=#REF!,0,#REF!)))+IF(#REF!=#REF!,0,IF(#REF!=#REF!,0,IF(#REF!=#REF!,45,#REF!))))))</f>
        <v>#REF!</v>
      </c>
      <c r="Z26" s="346"/>
      <c r="AA26" s="346"/>
      <c r="AB26" s="346"/>
      <c r="AC26" s="346"/>
      <c r="AD26" s="346"/>
      <c r="AE26" s="346"/>
      <c r="AF26" s="348"/>
      <c r="AG26" s="370">
        <v>14</v>
      </c>
      <c r="AH26" s="965"/>
      <c r="AI26" s="966"/>
      <c r="AJ26" s="966"/>
      <c r="AK26" s="966"/>
      <c r="AL26" s="966"/>
      <c r="AM26" s="966"/>
      <c r="AN26" s="966"/>
      <c r="AO26" s="966"/>
      <c r="AP26" s="966"/>
      <c r="AQ26" s="966"/>
      <c r="AR26" s="976"/>
      <c r="AS26" s="966"/>
      <c r="AT26" s="966"/>
      <c r="AU26" s="966"/>
      <c r="AV26" s="966"/>
      <c r="AW26" s="966"/>
      <c r="AX26" s="989"/>
      <c r="AY26" s="966"/>
      <c r="AZ26" s="966"/>
      <c r="BA26" s="966"/>
      <c r="BB26" s="966"/>
      <c r="BC26" s="966"/>
      <c r="BD26" s="966"/>
      <c r="BE26" s="966"/>
      <c r="BF26" s="966"/>
      <c r="BG26" s="990"/>
      <c r="BH26" s="371"/>
      <c r="BI26" s="1002"/>
      <c r="BJ26" s="985"/>
      <c r="BK26" s="985"/>
      <c r="BL26" s="1005"/>
      <c r="BM26" s="985"/>
      <c r="BN26" s="985"/>
      <c r="BO26" s="985"/>
      <c r="BP26" s="985"/>
      <c r="BQ26" s="985"/>
      <c r="BR26" s="985"/>
      <c r="BS26" s="1004"/>
      <c r="BT26" s="985"/>
      <c r="BU26" s="1005"/>
      <c r="BV26" s="1005"/>
      <c r="BW26" s="985"/>
      <c r="BX26" s="985"/>
      <c r="BY26" s="977"/>
      <c r="BZ26" s="332"/>
      <c r="CA26" s="985"/>
      <c r="CB26" s="332"/>
      <c r="CC26" s="985"/>
      <c r="CD26" s="985"/>
      <c r="CE26" s="985"/>
      <c r="CF26" s="985"/>
      <c r="CG26" s="985"/>
      <c r="CH26" s="985"/>
      <c r="CI26" s="1007"/>
      <c r="CJ26" s="986"/>
      <c r="CK26" s="986"/>
      <c r="CL26" s="986"/>
      <c r="CM26" s="985"/>
      <c r="CN26" s="985"/>
      <c r="CO26" s="985"/>
      <c r="CP26" s="985"/>
      <c r="CQ26" s="985"/>
      <c r="CR26" s="1008"/>
      <c r="CS26" s="979"/>
      <c r="CT26" s="979"/>
      <c r="CU26" s="979"/>
      <c r="CV26" s="979"/>
      <c r="CW26" s="985"/>
      <c r="CX26" s="985"/>
      <c r="CY26" s="985"/>
      <c r="CZ26" s="985"/>
      <c r="DA26" s="985"/>
      <c r="DB26" s="985"/>
      <c r="DC26" s="985"/>
      <c r="DD26" s="985"/>
      <c r="DE26" s="985"/>
      <c r="DF26" s="985"/>
      <c r="DG26" s="985"/>
      <c r="DH26" s="1001"/>
    </row>
    <row r="27" spans="1:112" ht="14.1" customHeight="1">
      <c r="A27" s="345"/>
      <c r="B27" s="346"/>
      <c r="C27" s="346"/>
      <c r="D27" s="346"/>
      <c r="E27" s="346"/>
      <c r="F27" s="346"/>
      <c r="G27" s="346"/>
      <c r="H27" s="346"/>
      <c r="I27" s="346"/>
      <c r="J27" s="346"/>
      <c r="K27" s="346"/>
      <c r="L27" s="347"/>
      <c r="M27" s="346"/>
      <c r="N27" s="346"/>
      <c r="O27" s="346"/>
      <c r="P27" s="346"/>
      <c r="Q27" s="346"/>
      <c r="R27" s="346"/>
      <c r="S27" s="346"/>
      <c r="T27" s="346"/>
      <c r="U27" s="346"/>
      <c r="V27" s="346"/>
      <c r="W27" s="346"/>
      <c r="X27" s="346"/>
      <c r="Y27" s="346"/>
      <c r="Z27" s="346"/>
      <c r="AA27" s="346"/>
      <c r="AB27" s="346"/>
      <c r="AC27" s="346"/>
      <c r="AD27" s="346"/>
      <c r="AE27" s="346"/>
      <c r="AF27" s="348"/>
      <c r="AG27" s="370">
        <v>15</v>
      </c>
      <c r="AH27" s="965"/>
      <c r="AI27" s="966"/>
      <c r="AJ27" s="966"/>
      <c r="AK27" s="966"/>
      <c r="AL27" s="966"/>
      <c r="AM27" s="966"/>
      <c r="AN27" s="966"/>
      <c r="AO27" s="966"/>
      <c r="AP27" s="966"/>
      <c r="AQ27" s="966"/>
      <c r="AR27" s="966"/>
      <c r="AS27" s="966"/>
      <c r="AT27" s="966"/>
      <c r="AU27" s="966"/>
      <c r="AV27" s="966"/>
      <c r="AW27" s="966"/>
      <c r="AX27" s="989"/>
      <c r="AY27" s="966"/>
      <c r="AZ27" s="966"/>
      <c r="BA27" s="966"/>
      <c r="BB27" s="966"/>
      <c r="BC27" s="966"/>
      <c r="BD27" s="966"/>
      <c r="BE27" s="966"/>
      <c r="BF27" s="966"/>
      <c r="BG27" s="990"/>
      <c r="BH27" s="371"/>
      <c r="BI27" s="1002"/>
      <c r="BJ27" s="1005"/>
      <c r="BK27" s="985"/>
      <c r="BL27" s="1005"/>
      <c r="BM27" s="985"/>
      <c r="BN27" s="985"/>
      <c r="BO27" s="985"/>
      <c r="BP27" s="985"/>
      <c r="BQ27" s="985"/>
      <c r="BR27" s="985"/>
      <c r="BS27" s="985"/>
      <c r="BT27" s="985"/>
      <c r="BU27" s="1005"/>
      <c r="BV27" s="1005"/>
      <c r="BW27" s="985"/>
      <c r="BX27" s="985"/>
      <c r="BY27" s="977"/>
      <c r="BZ27" s="332"/>
      <c r="CA27" s="332"/>
      <c r="CB27" s="985"/>
      <c r="CC27" s="985"/>
      <c r="CD27" s="985"/>
      <c r="CE27" s="985"/>
      <c r="CF27" s="985"/>
      <c r="CG27" s="985"/>
      <c r="CH27" s="985"/>
      <c r="CI27" s="1007"/>
      <c r="CJ27" s="986"/>
      <c r="CK27" s="986"/>
      <c r="CL27" s="986"/>
      <c r="CM27" s="985"/>
      <c r="CN27" s="985"/>
      <c r="CO27" s="985"/>
      <c r="CP27" s="985"/>
      <c r="CQ27" s="985"/>
      <c r="CR27" s="985"/>
      <c r="CS27" s="979"/>
      <c r="CT27" s="979"/>
      <c r="CU27" s="979"/>
      <c r="CV27" s="979"/>
      <c r="CW27" s="985"/>
      <c r="CX27" s="985"/>
      <c r="CY27" s="985"/>
      <c r="CZ27" s="985"/>
      <c r="DA27" s="985"/>
      <c r="DB27" s="985"/>
      <c r="DC27" s="985"/>
      <c r="DD27" s="985"/>
      <c r="DE27" s="985"/>
      <c r="DF27" s="985"/>
      <c r="DG27" s="985"/>
      <c r="DH27" s="1001"/>
    </row>
    <row r="28" spans="1:112" ht="14.1" customHeight="1">
      <c r="A28" s="345"/>
      <c r="B28" s="346"/>
      <c r="C28" s="346"/>
      <c r="D28" s="346"/>
      <c r="E28" s="346"/>
      <c r="F28" s="346"/>
      <c r="G28" s="346"/>
      <c r="H28" s="346"/>
      <c r="I28" s="346"/>
      <c r="J28" s="346"/>
      <c r="K28" s="346"/>
      <c r="L28" s="347"/>
      <c r="M28" s="346"/>
      <c r="N28" s="346"/>
      <c r="O28" s="346"/>
      <c r="P28" s="346"/>
      <c r="Q28" s="346"/>
      <c r="R28" s="346"/>
      <c r="S28" s="346"/>
      <c r="T28" s="346"/>
      <c r="U28" s="346"/>
      <c r="V28" s="346"/>
      <c r="W28" s="346"/>
      <c r="X28" s="346"/>
      <c r="Y28" s="346"/>
      <c r="Z28" s="346"/>
      <c r="AA28" s="346"/>
      <c r="AB28" s="346"/>
      <c r="AC28" s="346"/>
      <c r="AD28" s="346"/>
      <c r="AE28" s="346"/>
      <c r="AF28" s="348"/>
      <c r="AG28" s="370">
        <v>16</v>
      </c>
      <c r="AH28" s="965"/>
      <c r="AI28" s="966"/>
      <c r="AJ28" s="966"/>
      <c r="AK28" s="966"/>
      <c r="AL28" s="966"/>
      <c r="AM28" s="966"/>
      <c r="AN28" s="966"/>
      <c r="AO28" s="966"/>
      <c r="AP28" s="966"/>
      <c r="AQ28" s="966"/>
      <c r="AR28" s="966"/>
      <c r="AS28" s="966"/>
      <c r="AT28" s="966"/>
      <c r="AU28" s="966"/>
      <c r="AV28" s="966"/>
      <c r="AW28" s="966"/>
      <c r="AX28" s="989"/>
      <c r="AY28" s="966"/>
      <c r="AZ28" s="966"/>
      <c r="BA28" s="966"/>
      <c r="BB28" s="966"/>
      <c r="BC28" s="966"/>
      <c r="BD28" s="966"/>
      <c r="BE28" s="966"/>
      <c r="BF28" s="966"/>
      <c r="BG28" s="990"/>
      <c r="BH28" s="371"/>
      <c r="BI28" s="1002"/>
      <c r="BJ28" s="1005"/>
      <c r="BK28" s="1005"/>
      <c r="BL28" s="1005"/>
      <c r="BM28" s="985"/>
      <c r="BN28" s="985"/>
      <c r="BO28" s="985"/>
      <c r="BP28" s="985"/>
      <c r="BQ28" s="985"/>
      <c r="BR28" s="985">
        <v>0</v>
      </c>
      <c r="BS28" s="985">
        <v>0</v>
      </c>
      <c r="BT28" s="985">
        <v>0</v>
      </c>
      <c r="BU28" s="1005"/>
      <c r="BV28" s="1005"/>
      <c r="BW28" s="985"/>
      <c r="BX28" s="985"/>
      <c r="BY28" s="977"/>
      <c r="BZ28" s="332"/>
      <c r="CA28" s="332"/>
      <c r="CB28" s="332"/>
      <c r="CC28" s="985"/>
      <c r="CD28" s="985"/>
      <c r="CE28" s="985"/>
      <c r="CF28" s="985"/>
      <c r="CG28" s="985"/>
      <c r="CH28" s="985"/>
      <c r="CI28" s="1007"/>
      <c r="CJ28" s="986"/>
      <c r="CK28" s="986"/>
      <c r="CL28" s="986"/>
      <c r="CM28" s="985"/>
      <c r="CN28" s="985"/>
      <c r="CO28" s="985"/>
      <c r="CP28" s="985"/>
      <c r="CQ28" s="985"/>
      <c r="CR28" s="1008"/>
      <c r="CS28" s="979"/>
      <c r="CT28" s="979"/>
      <c r="CU28" s="979"/>
      <c r="CV28" s="979"/>
      <c r="CW28" s="985"/>
      <c r="CX28" s="985"/>
      <c r="CY28" s="985"/>
      <c r="CZ28" s="979"/>
      <c r="DA28" s="979"/>
      <c r="DB28" s="979"/>
      <c r="DC28" s="985"/>
      <c r="DD28" s="985"/>
      <c r="DE28" s="985"/>
      <c r="DF28" s="985"/>
      <c r="DG28" s="985"/>
      <c r="DH28" s="1001"/>
    </row>
    <row r="29" spans="1:112" ht="14.1" customHeight="1">
      <c r="A29" s="345"/>
      <c r="B29" s="346"/>
      <c r="C29" s="346"/>
      <c r="D29" s="346"/>
      <c r="E29" s="346"/>
      <c r="F29" s="346"/>
      <c r="G29" s="346"/>
      <c r="H29" s="346"/>
      <c r="I29" s="346"/>
      <c r="J29" s="346"/>
      <c r="K29" s="346"/>
      <c r="L29" s="347"/>
      <c r="M29" s="346"/>
      <c r="N29" s="346"/>
      <c r="O29" s="346"/>
      <c r="P29" s="346"/>
      <c r="Q29" s="346"/>
      <c r="R29" s="346"/>
      <c r="S29" s="346"/>
      <c r="T29" s="346"/>
      <c r="U29" s="346"/>
      <c r="V29" s="346"/>
      <c r="W29" s="346"/>
      <c r="X29" s="346"/>
      <c r="Y29" s="346"/>
      <c r="Z29" s="346"/>
      <c r="AA29" s="346"/>
      <c r="AB29" s="346"/>
      <c r="AC29" s="346"/>
      <c r="AD29" s="346"/>
      <c r="AE29" s="346"/>
      <c r="AF29" s="348"/>
      <c r="AG29" s="370">
        <v>17</v>
      </c>
      <c r="AH29" s="965"/>
      <c r="AI29" s="966"/>
      <c r="AJ29" s="966"/>
      <c r="AK29" s="966"/>
      <c r="AL29" s="966"/>
      <c r="AM29" s="966"/>
      <c r="AN29" s="966"/>
      <c r="AO29" s="966"/>
      <c r="AP29" s="966"/>
      <c r="AQ29" s="966"/>
      <c r="AR29" s="966"/>
      <c r="AS29" s="966"/>
      <c r="AT29" s="966"/>
      <c r="AU29" s="966"/>
      <c r="AV29" s="966"/>
      <c r="AW29" s="966"/>
      <c r="AX29" s="989"/>
      <c r="AY29" s="966"/>
      <c r="AZ29" s="966"/>
      <c r="BA29" s="966"/>
      <c r="BB29" s="966"/>
      <c r="BC29" s="966"/>
      <c r="BD29" s="966"/>
      <c r="BE29" s="966"/>
      <c r="BF29" s="966"/>
      <c r="BG29" s="990"/>
      <c r="BH29" s="371"/>
      <c r="BI29" s="1002"/>
      <c r="BJ29" s="1005"/>
      <c r="BK29" s="985"/>
      <c r="BL29" s="985"/>
      <c r="BM29" s="985"/>
      <c r="BN29" s="985"/>
      <c r="BO29" s="985"/>
      <c r="BP29" s="985"/>
      <c r="BQ29" s="985"/>
      <c r="BR29" s="985"/>
      <c r="BS29" s="985"/>
      <c r="BT29" s="985"/>
      <c r="BU29" s="1005"/>
      <c r="BV29" s="1005"/>
      <c r="BW29" s="985"/>
      <c r="BX29" s="985"/>
      <c r="BY29" s="977"/>
      <c r="BZ29" s="332"/>
      <c r="CA29" s="332"/>
      <c r="CB29" s="332"/>
      <c r="CC29" s="985"/>
      <c r="CD29" s="985"/>
      <c r="CE29" s="985"/>
      <c r="CF29" s="985"/>
      <c r="CG29" s="985"/>
      <c r="CH29" s="985"/>
      <c r="CI29" s="1007"/>
      <c r="CJ29" s="986"/>
      <c r="CK29" s="986"/>
      <c r="CL29" s="986"/>
      <c r="CM29" s="985"/>
      <c r="CN29" s="985"/>
      <c r="CO29" s="985"/>
      <c r="CP29" s="985"/>
      <c r="CQ29" s="985"/>
      <c r="CR29" s="1008"/>
      <c r="CS29" s="979"/>
      <c r="CT29" s="979"/>
      <c r="CU29" s="979"/>
      <c r="CV29" s="979"/>
      <c r="CW29" s="985"/>
      <c r="CX29" s="985"/>
      <c r="CY29" s="985"/>
      <c r="CZ29" s="985"/>
      <c r="DA29" s="985"/>
      <c r="DB29" s="985"/>
      <c r="DC29" s="985"/>
      <c r="DD29" s="985"/>
      <c r="DE29" s="985"/>
      <c r="DF29" s="985"/>
      <c r="DG29" s="985"/>
      <c r="DH29" s="1001"/>
    </row>
    <row r="30" spans="1:112" ht="14.1" customHeight="1">
      <c r="A30" s="345"/>
      <c r="B30" s="346"/>
      <c r="C30" s="346"/>
      <c r="D30" s="346"/>
      <c r="E30" s="346"/>
      <c r="F30" s="346"/>
      <c r="G30" s="346"/>
      <c r="H30" s="346"/>
      <c r="I30" s="346"/>
      <c r="J30" s="346"/>
      <c r="K30" s="346"/>
      <c r="L30" s="347"/>
      <c r="M30" s="346"/>
      <c r="N30" s="346"/>
      <c r="O30" s="346"/>
      <c r="P30" s="346"/>
      <c r="Q30" s="346"/>
      <c r="R30" s="346"/>
      <c r="S30" s="346"/>
      <c r="T30" s="346"/>
      <c r="U30" s="346"/>
      <c r="V30" s="346"/>
      <c r="W30" s="346"/>
      <c r="X30" s="346"/>
      <c r="Y30" s="346"/>
      <c r="Z30" s="346"/>
      <c r="AA30" s="346"/>
      <c r="AB30" s="346"/>
      <c r="AC30" s="346"/>
      <c r="AD30" s="346"/>
      <c r="AE30" s="346"/>
      <c r="AF30" s="348"/>
      <c r="AG30" s="370">
        <v>17</v>
      </c>
      <c r="AH30" s="965"/>
      <c r="AI30" s="966"/>
      <c r="AJ30" s="966"/>
      <c r="AK30" s="966"/>
      <c r="AL30" s="966"/>
      <c r="AM30" s="966"/>
      <c r="AN30" s="966"/>
      <c r="AO30" s="966"/>
      <c r="AP30" s="966"/>
      <c r="AQ30" s="966"/>
      <c r="AR30" s="966"/>
      <c r="AS30" s="966"/>
      <c r="AT30" s="966"/>
      <c r="AU30" s="966"/>
      <c r="AV30" s="966"/>
      <c r="AW30" s="966"/>
      <c r="AX30" s="989"/>
      <c r="AY30" s="966"/>
      <c r="AZ30" s="966"/>
      <c r="BA30" s="966"/>
      <c r="BB30" s="966"/>
      <c r="BC30" s="966"/>
      <c r="BD30" s="966"/>
      <c r="BE30" s="966"/>
      <c r="BF30" s="966"/>
      <c r="BG30" s="990"/>
      <c r="BH30" s="371"/>
      <c r="BI30" s="1002"/>
      <c r="BJ30" s="1005"/>
      <c r="BK30" s="985"/>
      <c r="BL30" s="985"/>
      <c r="BM30" s="985"/>
      <c r="BN30" s="985"/>
      <c r="BO30" s="985"/>
      <c r="BP30" s="985"/>
      <c r="BQ30" s="985"/>
      <c r="BR30" s="985">
        <v>0</v>
      </c>
      <c r="BS30" s="985">
        <v>0</v>
      </c>
      <c r="BT30" s="985">
        <v>0</v>
      </c>
      <c r="BU30" s="1005"/>
      <c r="BV30" s="1005"/>
      <c r="BW30" s="985"/>
      <c r="BX30" s="985"/>
      <c r="BY30" s="977"/>
      <c r="BZ30" s="332"/>
      <c r="CA30" s="332"/>
      <c r="CB30" s="332"/>
      <c r="CC30" s="985"/>
      <c r="CD30" s="985"/>
      <c r="CE30" s="985"/>
      <c r="CF30" s="985"/>
      <c r="CG30" s="985"/>
      <c r="CH30" s="985"/>
      <c r="CI30" s="1007"/>
      <c r="CJ30" s="986"/>
      <c r="CK30" s="986"/>
      <c r="CL30" s="986"/>
      <c r="CM30" s="985"/>
      <c r="CN30" s="985"/>
      <c r="CO30" s="985"/>
      <c r="CP30" s="985"/>
      <c r="CQ30" s="985"/>
      <c r="CR30" s="1008"/>
      <c r="CS30" s="1008"/>
      <c r="CT30" s="1008"/>
      <c r="CU30" s="979"/>
      <c r="CV30" s="979"/>
      <c r="CW30" s="985"/>
      <c r="CX30" s="985"/>
      <c r="CY30" s="985"/>
      <c r="CZ30" s="979"/>
      <c r="DA30" s="979"/>
      <c r="DB30" s="979"/>
      <c r="DC30" s="985"/>
      <c r="DD30" s="985"/>
      <c r="DE30" s="985"/>
      <c r="DF30" s="985"/>
      <c r="DG30" s="985"/>
      <c r="DH30" s="1001"/>
    </row>
    <row r="31" spans="1:112" ht="14.1" customHeight="1">
      <c r="A31" s="345"/>
      <c r="B31" s="346"/>
      <c r="C31" s="346"/>
      <c r="D31" s="346"/>
      <c r="E31" s="346"/>
      <c r="F31" s="346"/>
      <c r="G31" s="346"/>
      <c r="H31" s="346"/>
      <c r="I31" s="346"/>
      <c r="J31" s="346"/>
      <c r="K31" s="346"/>
      <c r="L31" s="347"/>
      <c r="M31" s="346"/>
      <c r="N31" s="346"/>
      <c r="O31" s="346"/>
      <c r="P31" s="346"/>
      <c r="Q31" s="346"/>
      <c r="R31" s="346"/>
      <c r="S31" s="346"/>
      <c r="T31" s="346"/>
      <c r="U31" s="346"/>
      <c r="V31" s="346"/>
      <c r="W31" s="346"/>
      <c r="X31" s="346"/>
      <c r="Y31" s="346"/>
      <c r="Z31" s="346"/>
      <c r="AA31" s="346"/>
      <c r="AB31" s="346"/>
      <c r="AC31" s="346"/>
      <c r="AD31" s="346"/>
      <c r="AE31" s="346"/>
      <c r="AF31" s="348"/>
      <c r="AG31" s="370">
        <v>18</v>
      </c>
      <c r="AH31" s="965"/>
      <c r="AI31" s="966"/>
      <c r="AJ31" s="966"/>
      <c r="AK31" s="966"/>
      <c r="AL31" s="966"/>
      <c r="AM31" s="966"/>
      <c r="AN31" s="966"/>
      <c r="AO31" s="966"/>
      <c r="AP31" s="966"/>
      <c r="AQ31" s="966"/>
      <c r="AR31" s="966"/>
      <c r="AS31" s="966"/>
      <c r="AT31" s="966"/>
      <c r="AU31" s="966"/>
      <c r="AV31" s="966"/>
      <c r="AW31" s="966"/>
      <c r="AX31" s="989"/>
      <c r="AY31" s="966"/>
      <c r="AZ31" s="966"/>
      <c r="BA31" s="966"/>
      <c r="BB31" s="966"/>
      <c r="BC31" s="966"/>
      <c r="BD31" s="966"/>
      <c r="BE31" s="966"/>
      <c r="BF31" s="966"/>
      <c r="BG31" s="990"/>
      <c r="BH31" s="371"/>
      <c r="BI31" s="1002"/>
      <c r="BJ31" s="1005"/>
      <c r="BK31" s="985"/>
      <c r="BL31" s="985"/>
      <c r="BM31" s="985"/>
      <c r="BN31" s="985"/>
      <c r="BO31" s="985"/>
      <c r="BP31" s="985"/>
      <c r="BQ31" s="985"/>
      <c r="BR31" s="985"/>
      <c r="BS31" s="985"/>
      <c r="BT31" s="985"/>
      <c r="BU31" s="1005"/>
      <c r="BV31" s="1005"/>
      <c r="BW31" s="985"/>
      <c r="BX31" s="985"/>
      <c r="BY31" s="977"/>
      <c r="BZ31" s="332"/>
      <c r="CA31" s="332"/>
      <c r="CB31" s="332"/>
      <c r="CC31" s="985"/>
      <c r="CD31" s="985"/>
      <c r="CE31" s="985"/>
      <c r="CF31" s="985"/>
      <c r="CG31" s="985"/>
      <c r="CH31" s="985"/>
      <c r="CI31" s="1007"/>
      <c r="CJ31" s="986"/>
      <c r="CK31" s="986"/>
      <c r="CL31" s="986"/>
      <c r="CM31" s="985"/>
      <c r="CN31" s="985"/>
      <c r="CO31" s="985"/>
      <c r="CP31" s="985"/>
      <c r="CQ31" s="985"/>
      <c r="CR31" s="1008"/>
      <c r="CS31" s="1008"/>
      <c r="CT31" s="1008"/>
      <c r="CU31" s="979"/>
      <c r="CV31" s="979"/>
      <c r="CW31" s="985"/>
      <c r="CX31" s="985"/>
      <c r="CY31" s="985"/>
      <c r="CZ31" s="985"/>
      <c r="DA31" s="985"/>
      <c r="DB31" s="985"/>
      <c r="DC31" s="985"/>
      <c r="DD31" s="985"/>
      <c r="DE31" s="985"/>
      <c r="DF31" s="985"/>
      <c r="DG31" s="985"/>
      <c r="DH31" s="1001"/>
    </row>
    <row r="32" spans="1:112" ht="14.1" customHeight="1">
      <c r="A32" s="345"/>
      <c r="B32" s="346"/>
      <c r="C32" s="346"/>
      <c r="D32" s="346"/>
      <c r="E32" s="346"/>
      <c r="F32" s="346"/>
      <c r="G32" s="346" t="s">
        <v>0</v>
      </c>
      <c r="H32" s="346"/>
      <c r="I32" s="346"/>
      <c r="J32" s="346"/>
      <c r="K32" s="346"/>
      <c r="L32" s="347"/>
      <c r="M32" s="346"/>
      <c r="N32" s="346"/>
      <c r="O32" s="346"/>
      <c r="P32" s="346"/>
      <c r="Q32" s="346"/>
      <c r="R32" s="346"/>
      <c r="S32" s="346"/>
      <c r="T32" s="346"/>
      <c r="U32" s="346"/>
      <c r="V32" s="346"/>
      <c r="W32" s="346"/>
      <c r="X32" s="346"/>
      <c r="Y32" s="346"/>
      <c r="Z32" s="346"/>
      <c r="AA32" s="346"/>
      <c r="AB32" s="346"/>
      <c r="AC32" s="346"/>
      <c r="AD32" s="346"/>
      <c r="AE32" s="346"/>
      <c r="AF32" s="348"/>
      <c r="AG32" s="370">
        <v>19</v>
      </c>
      <c r="AH32" s="993"/>
      <c r="AI32" s="1024"/>
      <c r="AJ32" s="1024"/>
      <c r="AK32" s="1024"/>
      <c r="AL32" s="1024"/>
      <c r="AM32" s="1024"/>
      <c r="AN32" s="1024"/>
      <c r="AO32" s="1024"/>
      <c r="AP32" s="1024"/>
      <c r="AQ32" s="1024"/>
      <c r="AR32" s="1024"/>
      <c r="AS32" s="1024"/>
      <c r="AT32" s="1024"/>
      <c r="AU32" s="1024"/>
      <c r="AV32" s="1024"/>
      <c r="AW32" s="1024"/>
      <c r="AX32" s="1311"/>
      <c r="AY32" s="1024"/>
      <c r="AZ32" s="1024"/>
      <c r="BA32" s="1024"/>
      <c r="BB32" s="1024"/>
      <c r="BC32" s="1024"/>
      <c r="BD32" s="1024"/>
      <c r="BE32" s="1024"/>
      <c r="BF32" s="1024"/>
      <c r="BG32" s="994"/>
      <c r="BH32" s="1312"/>
      <c r="BI32" s="1006"/>
      <c r="BJ32" s="1313"/>
      <c r="BK32" s="1026">
        <v>0</v>
      </c>
      <c r="BL32" s="1026">
        <v>0</v>
      </c>
      <c r="BM32" s="1026"/>
      <c r="BN32" s="1026"/>
      <c r="BO32" s="1026"/>
      <c r="BP32" s="1026"/>
      <c r="BQ32" s="1026"/>
      <c r="BR32" s="1026">
        <v>0</v>
      </c>
      <c r="BS32" s="1026">
        <v>0</v>
      </c>
      <c r="BT32" s="1026">
        <v>0</v>
      </c>
      <c r="BU32" s="1313"/>
      <c r="BV32" s="1313"/>
      <c r="BW32" s="1026"/>
      <c r="BX32" s="1026"/>
      <c r="BY32" s="1314"/>
      <c r="BZ32" s="1315"/>
      <c r="CA32" s="1315"/>
      <c r="CB32" s="1315"/>
      <c r="CC32" s="1026"/>
      <c r="CD32" s="1026"/>
      <c r="CE32" s="1026"/>
      <c r="CF32" s="1026"/>
      <c r="CG32" s="1026"/>
      <c r="CH32" s="1026"/>
      <c r="CI32" s="1009"/>
      <c r="CJ32" s="1027"/>
      <c r="CK32" s="1027"/>
      <c r="CL32" s="1027"/>
      <c r="CM32" s="1026"/>
      <c r="CN32" s="1026"/>
      <c r="CO32" s="1026"/>
      <c r="CP32" s="1026"/>
      <c r="CQ32" s="1026"/>
      <c r="CR32" s="1028"/>
      <c r="CS32" s="1028"/>
      <c r="CT32" s="1028"/>
      <c r="CU32" s="1010"/>
      <c r="CV32" s="1010"/>
      <c r="CW32" s="1026"/>
      <c r="CX32" s="1026"/>
      <c r="CY32" s="1026"/>
      <c r="CZ32" s="1010"/>
      <c r="DA32" s="1010"/>
      <c r="DB32" s="1010"/>
      <c r="DC32" s="1026"/>
      <c r="DD32" s="1026"/>
      <c r="DE32" s="1026"/>
      <c r="DF32" s="1026"/>
      <c r="DG32" s="1026"/>
      <c r="DH32" s="1029"/>
    </row>
    <row r="33" spans="1:112" ht="14.1" customHeight="1">
      <c r="A33" s="345"/>
      <c r="B33" s="346"/>
      <c r="C33" s="346"/>
      <c r="D33" s="346"/>
      <c r="E33" s="346"/>
      <c r="F33" s="346"/>
      <c r="G33" s="346"/>
      <c r="H33" s="346"/>
      <c r="I33" s="346"/>
      <c r="J33" s="346"/>
      <c r="K33" s="346"/>
      <c r="L33" s="347"/>
      <c r="M33" s="346"/>
      <c r="N33" s="346"/>
      <c r="O33" s="346"/>
      <c r="P33" s="346"/>
      <c r="Q33" s="346"/>
      <c r="R33" s="346"/>
      <c r="S33" s="346"/>
      <c r="T33" s="346"/>
      <c r="U33" s="346"/>
      <c r="V33" s="346"/>
      <c r="W33" s="346"/>
      <c r="X33" s="346"/>
      <c r="Y33" s="346"/>
      <c r="Z33" s="346"/>
      <c r="AA33" s="346"/>
      <c r="AB33" s="346"/>
      <c r="AC33" s="346"/>
      <c r="AD33" s="346"/>
      <c r="AE33" s="346"/>
      <c r="AF33" s="348"/>
      <c r="AG33" s="343">
        <v>20</v>
      </c>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343"/>
      <c r="BD33" s="343"/>
      <c r="BE33" s="343"/>
      <c r="BF33" s="343"/>
      <c r="BG33" s="343"/>
      <c r="BH33" s="343"/>
      <c r="BI33" s="344"/>
      <c r="CZ33" s="978"/>
      <c r="DA33" s="978"/>
      <c r="DB33" s="978"/>
    </row>
    <row r="34" spans="1:112" ht="14.1" customHeight="1">
      <c r="A34" s="345"/>
      <c r="B34" s="346"/>
      <c r="C34" s="346"/>
      <c r="D34" s="346"/>
      <c r="E34" s="346"/>
      <c r="F34" s="346"/>
      <c r="G34" s="346"/>
      <c r="H34" s="346"/>
      <c r="I34" s="346"/>
      <c r="J34" s="346"/>
      <c r="K34" s="346"/>
      <c r="L34" s="347"/>
      <c r="M34" s="346"/>
      <c r="N34" s="346"/>
      <c r="O34" s="346"/>
      <c r="P34" s="346"/>
      <c r="Q34" s="346"/>
      <c r="R34" s="346"/>
      <c r="S34" s="346"/>
      <c r="T34" s="346"/>
      <c r="U34" s="346"/>
      <c r="V34" s="346"/>
      <c r="W34" s="346"/>
      <c r="X34" s="346"/>
      <c r="Y34" s="346"/>
      <c r="Z34" s="346"/>
      <c r="AA34" s="346"/>
      <c r="AB34" s="346"/>
      <c r="AC34" s="346"/>
      <c r="AD34" s="346"/>
      <c r="AE34" s="346"/>
      <c r="AF34" s="348"/>
      <c r="AG34" s="343"/>
      <c r="AH34" s="1018" t="s">
        <v>93</v>
      </c>
      <c r="AI34" s="1019" t="s">
        <v>516</v>
      </c>
      <c r="AJ34" s="1018" t="s">
        <v>93</v>
      </c>
      <c r="AK34" s="1019" t="s">
        <v>516</v>
      </c>
      <c r="AL34" s="1033" t="s">
        <v>657</v>
      </c>
      <c r="AM34" s="1019" t="s">
        <v>757</v>
      </c>
      <c r="AN34" s="1019" t="s">
        <v>758</v>
      </c>
      <c r="AO34" s="1019"/>
      <c r="AP34" s="343"/>
      <c r="AQ34" s="1316" t="s">
        <v>759</v>
      </c>
      <c r="AR34" s="1842" t="s">
        <v>110</v>
      </c>
      <c r="AS34" s="1842"/>
      <c r="AT34" s="343"/>
      <c r="AU34" s="343"/>
      <c r="AV34" s="343"/>
      <c r="AW34" s="343"/>
      <c r="AX34" s="343"/>
      <c r="AY34" s="343"/>
      <c r="AZ34" s="343"/>
      <c r="BA34" s="343"/>
      <c r="BB34" s="343"/>
      <c r="BC34" s="343"/>
      <c r="BD34" s="343"/>
      <c r="BE34" s="343"/>
      <c r="BF34" s="343"/>
      <c r="BG34" s="343"/>
      <c r="BH34" s="343"/>
      <c r="BK34" s="356"/>
      <c r="BL34" s="357"/>
      <c r="BM34" s="357"/>
      <c r="BN34" s="357"/>
      <c r="BO34" s="357"/>
      <c r="BP34" s="357"/>
      <c r="BQ34" s="357"/>
      <c r="CZ34" s="978"/>
      <c r="DA34" s="978"/>
      <c r="DB34" s="978"/>
    </row>
    <row r="35" spans="1:112" ht="14.1" customHeight="1">
      <c r="A35" s="345"/>
      <c r="B35" s="346"/>
      <c r="C35" s="346"/>
      <c r="D35" s="346"/>
      <c r="E35" s="346"/>
      <c r="F35" s="346"/>
      <c r="G35" s="346"/>
      <c r="H35" s="346"/>
      <c r="I35" s="346"/>
      <c r="J35" s="346"/>
      <c r="K35" s="346"/>
      <c r="L35" s="347"/>
      <c r="M35" s="346"/>
      <c r="N35" s="346"/>
      <c r="O35" s="346"/>
      <c r="P35" s="346"/>
      <c r="Q35" s="346"/>
      <c r="R35" s="346"/>
      <c r="S35" s="346"/>
      <c r="T35" s="346"/>
      <c r="U35" s="346"/>
      <c r="V35" s="346"/>
      <c r="W35" s="346"/>
      <c r="X35" s="346"/>
      <c r="Y35" s="346"/>
      <c r="Z35" s="346"/>
      <c r="AA35" s="346"/>
      <c r="AB35" s="346"/>
      <c r="AC35" s="346"/>
      <c r="AD35" s="346"/>
      <c r="AE35" s="346"/>
      <c r="AF35" s="348"/>
      <c r="AG35" s="343"/>
      <c r="AH35" s="1020">
        <v>300</v>
      </c>
      <c r="AI35" s="1021" t="s">
        <v>656</v>
      </c>
      <c r="AJ35" s="1020" t="str">
        <f>+A14</f>
        <v/>
      </c>
      <c r="AK35" s="1021" t="str">
        <f>IF(AL35="","",VLOOKUP(AJ35,$AH$35:$AI$56,2,0))</f>
        <v/>
      </c>
      <c r="AL35" s="1020"/>
      <c r="AM35" s="1033" t="str">
        <f t="shared" ref="AM35:AM44" si="7">+Y14</f>
        <v/>
      </c>
      <c r="AN35" s="1021" t="str">
        <f t="shared" ref="AN35:AN42" si="8">+AC14</f>
        <v/>
      </c>
      <c r="AO35" s="971"/>
      <c r="AQ35" s="1021" t="s">
        <v>357</v>
      </c>
      <c r="AR35" s="1036" t="e">
        <f>+VLOOKUP(AQ35,$E$55:$X$75,13,0)</f>
        <v>#N/A</v>
      </c>
      <c r="AS35" s="1037" t="str">
        <f>+IFERROR(AR35,"0")</f>
        <v>0</v>
      </c>
      <c r="AT35" s="1317" t="s">
        <v>658</v>
      </c>
      <c r="AU35" s="1318">
        <f>IF(AND(AS39="",AS39="",AS40=""),"",+AS39+AS40)</f>
        <v>0</v>
      </c>
      <c r="AV35" s="343"/>
      <c r="AW35" s="343"/>
      <c r="AX35" s="343"/>
      <c r="AY35" s="343"/>
      <c r="AZ35" s="343"/>
      <c r="BA35" s="343"/>
      <c r="BB35" s="343"/>
      <c r="BC35" s="343"/>
      <c r="BD35" s="343"/>
      <c r="BE35" s="368" t="s">
        <v>521</v>
      </c>
      <c r="BF35" s="343"/>
      <c r="BG35" s="343"/>
      <c r="BH35" s="343"/>
      <c r="BI35" s="1319" t="s">
        <v>544</v>
      </c>
      <c r="BK35" s="356"/>
      <c r="BL35" s="374" t="s">
        <v>760</v>
      </c>
      <c r="BM35" s="357"/>
      <c r="BN35" s="357"/>
      <c r="BO35" s="357"/>
      <c r="BP35" s="357"/>
      <c r="BQ35" s="357"/>
      <c r="CZ35" s="978"/>
      <c r="DA35" s="978"/>
      <c r="DB35" s="978"/>
    </row>
    <row r="36" spans="1:112" ht="14.1" customHeight="1">
      <c r="A36" s="345"/>
      <c r="B36" s="346"/>
      <c r="C36" s="346"/>
      <c r="D36" s="346"/>
      <c r="E36" s="346"/>
      <c r="F36" s="346"/>
      <c r="G36" s="346"/>
      <c r="H36" s="346"/>
      <c r="I36" s="346"/>
      <c r="J36" s="346"/>
      <c r="K36" s="346"/>
      <c r="L36" s="347"/>
      <c r="M36" s="346"/>
      <c r="N36" s="346"/>
      <c r="O36" s="346"/>
      <c r="P36" s="346"/>
      <c r="Q36" s="346"/>
      <c r="R36" s="346"/>
      <c r="S36" s="346"/>
      <c r="T36" s="346"/>
      <c r="U36" s="346"/>
      <c r="V36" s="346"/>
      <c r="W36" s="346"/>
      <c r="X36" s="346"/>
      <c r="Y36" s="346"/>
      <c r="Z36" s="346"/>
      <c r="AA36" s="346"/>
      <c r="AB36" s="346"/>
      <c r="AC36" s="346"/>
      <c r="AD36" s="346"/>
      <c r="AE36" s="346"/>
      <c r="AF36" s="348"/>
      <c r="AG36" s="343"/>
      <c r="AH36" s="1020">
        <v>76.2</v>
      </c>
      <c r="AI36" s="1021" t="s">
        <v>356</v>
      </c>
      <c r="AJ36" s="1020" t="str">
        <f t="shared" ref="AJ36:AJ44" si="9">+A15</f>
        <v/>
      </c>
      <c r="AK36" s="1021" t="str">
        <f t="shared" ref="AK36:AK44" si="10">IF(AL36="","",VLOOKUP(AJ36,$AH$35:$AI$56,2,0))</f>
        <v/>
      </c>
      <c r="AL36" s="1020"/>
      <c r="AM36" s="1033" t="str">
        <f t="shared" si="7"/>
        <v/>
      </c>
      <c r="AN36" s="1021" t="str">
        <f t="shared" si="8"/>
        <v/>
      </c>
      <c r="AO36" s="971"/>
      <c r="AQ36" s="1021" t="s">
        <v>652</v>
      </c>
      <c r="AR36" s="1036" t="e">
        <f t="shared" ref="AR36:AR50" si="11">+VLOOKUP(AQ36,$E$55:$X$75,13,0)</f>
        <v>#N/A</v>
      </c>
      <c r="AS36" s="1037" t="str">
        <f t="shared" ref="AS36:AS50" si="12">+IFERROR(AR36,"0")</f>
        <v>0</v>
      </c>
      <c r="AT36" s="1317" t="s">
        <v>659</v>
      </c>
      <c r="AU36" s="1318">
        <f>IF(AND(AS41="",AS41="",AS42=""),"",+AS41+AS42)</f>
        <v>0</v>
      </c>
      <c r="AV36" s="343"/>
      <c r="AW36" s="343"/>
      <c r="AX36" s="343"/>
      <c r="AY36" s="343"/>
      <c r="AZ36" s="343"/>
      <c r="BA36" s="343"/>
      <c r="BB36" s="343"/>
      <c r="BC36" s="343"/>
      <c r="BD36" s="343"/>
      <c r="BE36" s="368" t="s">
        <v>461</v>
      </c>
      <c r="BF36" s="343"/>
      <c r="BG36" s="343"/>
      <c r="BH36" s="343"/>
      <c r="BI36" s="967" t="s">
        <v>647</v>
      </c>
      <c r="BK36" s="356"/>
      <c r="BL36" s="967" t="s">
        <v>761</v>
      </c>
      <c r="BM36" s="357"/>
      <c r="BN36" s="357"/>
      <c r="BO36" s="357"/>
      <c r="BP36" s="357"/>
      <c r="BQ36" s="357"/>
      <c r="CZ36" s="978"/>
      <c r="DA36" s="978"/>
      <c r="DB36" s="978"/>
    </row>
    <row r="37" spans="1:112" ht="14.1" customHeight="1">
      <c r="A37" s="345"/>
      <c r="B37" s="346"/>
      <c r="C37" s="346"/>
      <c r="D37" s="346"/>
      <c r="E37" s="346"/>
      <c r="F37" s="346"/>
      <c r="G37" s="346"/>
      <c r="H37" s="346"/>
      <c r="I37" s="346"/>
      <c r="J37" s="346"/>
      <c r="K37" s="346"/>
      <c r="L37" s="347"/>
      <c r="M37" s="346"/>
      <c r="N37" s="346"/>
      <c r="O37" s="346"/>
      <c r="P37" s="346"/>
      <c r="Q37" s="346"/>
      <c r="R37" s="346"/>
      <c r="S37" s="346"/>
      <c r="T37" s="346"/>
      <c r="U37" s="346"/>
      <c r="V37" s="346"/>
      <c r="W37" s="346"/>
      <c r="X37" s="346"/>
      <c r="Y37" s="346"/>
      <c r="Z37" s="346"/>
      <c r="AA37" s="346"/>
      <c r="AB37" s="346"/>
      <c r="AC37" s="346"/>
      <c r="AD37" s="346"/>
      <c r="AE37" s="346"/>
      <c r="AF37" s="348"/>
      <c r="AG37" s="343"/>
      <c r="AH37" s="1020">
        <v>64</v>
      </c>
      <c r="AI37" s="1021" t="s">
        <v>357</v>
      </c>
      <c r="AJ37" s="1020" t="str">
        <f t="shared" si="9"/>
        <v/>
      </c>
      <c r="AK37" s="1021" t="str">
        <f t="shared" si="10"/>
        <v/>
      </c>
      <c r="AL37" s="1020"/>
      <c r="AM37" s="1033" t="str">
        <f t="shared" si="7"/>
        <v/>
      </c>
      <c r="AN37" s="1021" t="str">
        <f t="shared" si="8"/>
        <v/>
      </c>
      <c r="AO37" s="971"/>
      <c r="AQ37" s="1021" t="s">
        <v>358</v>
      </c>
      <c r="AR37" s="1036" t="e">
        <f t="shared" si="11"/>
        <v>#N/A</v>
      </c>
      <c r="AS37" s="1037" t="str">
        <f t="shared" si="12"/>
        <v>0</v>
      </c>
      <c r="AT37" s="1320" t="s">
        <v>660</v>
      </c>
      <c r="AU37" s="1321">
        <f>IF(AND(AS43="",AS44=""),"",+AS43+AS44)</f>
        <v>0</v>
      </c>
      <c r="AV37" s="343"/>
      <c r="AW37" s="343"/>
      <c r="AX37" s="343"/>
      <c r="AY37" s="343"/>
      <c r="AZ37" s="343"/>
      <c r="BA37" s="343"/>
      <c r="BB37" s="343"/>
      <c r="BC37" s="343"/>
      <c r="BD37" s="343"/>
      <c r="BE37" s="368" t="s">
        <v>30</v>
      </c>
      <c r="BF37" s="343"/>
      <c r="BG37" s="343"/>
      <c r="BH37" s="343"/>
      <c r="BI37" s="968" t="s">
        <v>540</v>
      </c>
      <c r="BK37" s="356"/>
      <c r="BL37" s="967" t="s">
        <v>761</v>
      </c>
      <c r="BM37" s="357"/>
      <c r="BN37" s="357"/>
      <c r="BO37" s="357"/>
      <c r="BP37" s="357"/>
      <c r="BQ37" s="357"/>
      <c r="CZ37" s="978"/>
      <c r="DA37" s="978"/>
      <c r="DB37" s="978"/>
    </row>
    <row r="38" spans="1:112" s="349" customFormat="1" ht="14.1" customHeight="1">
      <c r="A38" s="345"/>
      <c r="B38" s="346"/>
      <c r="C38" s="346"/>
      <c r="D38" s="346"/>
      <c r="E38" s="346"/>
      <c r="F38" s="346"/>
      <c r="G38" s="346"/>
      <c r="H38" s="346"/>
      <c r="I38" s="346"/>
      <c r="J38" s="346"/>
      <c r="K38" s="346"/>
      <c r="L38" s="347"/>
      <c r="M38" s="346"/>
      <c r="N38" s="346"/>
      <c r="O38" s="346"/>
      <c r="P38" s="346"/>
      <c r="Q38" s="346"/>
      <c r="R38" s="346"/>
      <c r="S38" s="346"/>
      <c r="T38" s="346"/>
      <c r="U38" s="346"/>
      <c r="V38" s="346"/>
      <c r="W38" s="346"/>
      <c r="X38" s="346"/>
      <c r="Y38" s="346"/>
      <c r="Z38" s="346"/>
      <c r="AA38" s="346"/>
      <c r="AB38" s="346"/>
      <c r="AC38" s="346"/>
      <c r="AD38" s="346"/>
      <c r="AE38" s="346"/>
      <c r="AF38" s="348"/>
      <c r="AG38" s="343"/>
      <c r="AH38" s="1020">
        <v>57</v>
      </c>
      <c r="AI38" s="1021" t="s">
        <v>652</v>
      </c>
      <c r="AJ38" s="1020" t="str">
        <f t="shared" si="9"/>
        <v/>
      </c>
      <c r="AK38" s="1021" t="str">
        <f>IF(AL38="","",VLOOKUP(AJ38,$AH$35:$AI$56,2,0))</f>
        <v/>
      </c>
      <c r="AL38" s="1020"/>
      <c r="AM38" s="1033" t="str">
        <f t="shared" si="7"/>
        <v/>
      </c>
      <c r="AN38" s="1021" t="str">
        <f t="shared" si="8"/>
        <v/>
      </c>
      <c r="AO38" s="1034"/>
      <c r="AQ38" s="1021" t="s">
        <v>359</v>
      </c>
      <c r="AR38" s="1036" t="e">
        <f t="shared" si="11"/>
        <v>#N/A</v>
      </c>
      <c r="AS38" s="1037" t="str">
        <f t="shared" si="12"/>
        <v>0</v>
      </c>
      <c r="AT38" s="1317" t="s">
        <v>661</v>
      </c>
      <c r="AU38" s="1318">
        <f>IF(AND(AS45="",AS45="",AS46=""),"",+AS45+AS46+AS47)</f>
        <v>0</v>
      </c>
      <c r="AV38" s="343"/>
      <c r="AW38" s="343"/>
      <c r="AX38" s="343"/>
      <c r="AY38" s="343"/>
      <c r="AZ38" s="343"/>
      <c r="BA38" s="343"/>
      <c r="BB38" s="343"/>
      <c r="BC38" s="343"/>
      <c r="BD38" s="343"/>
      <c r="BE38" s="368" t="s">
        <v>29</v>
      </c>
      <c r="BF38" s="343"/>
      <c r="BG38" s="343"/>
      <c r="BH38" s="343"/>
      <c r="BI38" s="968" t="s">
        <v>541</v>
      </c>
      <c r="BJ38" s="344"/>
      <c r="BK38" s="356"/>
      <c r="BL38" s="967" t="s">
        <v>761</v>
      </c>
      <c r="BM38" s="357"/>
      <c r="BN38" s="357"/>
      <c r="BO38" s="357"/>
      <c r="BP38" s="357"/>
      <c r="BQ38" s="357"/>
      <c r="BR38" s="334"/>
      <c r="BS38" s="334"/>
      <c r="BT38" s="332"/>
      <c r="BU38" s="332"/>
      <c r="BV38" s="332"/>
      <c r="BW38" s="332"/>
      <c r="BX38" s="332"/>
      <c r="BY38" s="332"/>
      <c r="BZ38" s="332"/>
      <c r="CA38" s="332"/>
      <c r="CB38" s="332"/>
      <c r="CC38" s="332"/>
      <c r="CD38" s="332"/>
      <c r="CE38" s="332"/>
      <c r="CF38" s="332"/>
      <c r="CG38" s="332"/>
      <c r="CH38" s="332"/>
      <c r="CI38" s="979"/>
      <c r="CJ38" s="979"/>
      <c r="CK38" s="979"/>
      <c r="CL38" s="979"/>
      <c r="CM38" s="979"/>
      <c r="CN38" s="979"/>
      <c r="CO38" s="979"/>
      <c r="CP38" s="979"/>
      <c r="CQ38" s="979"/>
      <c r="CR38" s="979"/>
      <c r="CS38" s="979"/>
      <c r="CT38" s="979"/>
      <c r="CU38" s="979"/>
      <c r="CV38" s="979"/>
      <c r="CW38" s="979"/>
      <c r="CX38" s="979"/>
      <c r="CY38" s="979"/>
      <c r="CZ38" s="978"/>
      <c r="DA38" s="978"/>
      <c r="DB38" s="978"/>
      <c r="DC38" s="979"/>
      <c r="DD38" s="979"/>
      <c r="DE38" s="979"/>
      <c r="DF38" s="979"/>
      <c r="DG38" s="979"/>
      <c r="DH38" s="979"/>
    </row>
    <row r="39" spans="1:112" s="349" customFormat="1" ht="14.1" customHeight="1">
      <c r="A39" s="345"/>
      <c r="B39" s="346"/>
      <c r="C39" s="346"/>
      <c r="D39" s="346"/>
      <c r="E39" s="346"/>
      <c r="F39" s="346"/>
      <c r="G39" s="346"/>
      <c r="H39" s="346"/>
      <c r="I39" s="346"/>
      <c r="J39" s="346"/>
      <c r="K39" s="346"/>
      <c r="L39" s="347"/>
      <c r="M39" s="346"/>
      <c r="N39" s="346"/>
      <c r="O39" s="346"/>
      <c r="P39" s="346"/>
      <c r="Q39" s="346"/>
      <c r="R39" s="346"/>
      <c r="S39" s="346"/>
      <c r="T39" s="346"/>
      <c r="U39" s="346"/>
      <c r="V39" s="346"/>
      <c r="W39" s="346"/>
      <c r="X39" s="346"/>
      <c r="Y39" s="346"/>
      <c r="Z39" s="346"/>
      <c r="AA39" s="346"/>
      <c r="AB39" s="346"/>
      <c r="AC39" s="346"/>
      <c r="AD39" s="346"/>
      <c r="AE39" s="346"/>
      <c r="AF39" s="348"/>
      <c r="AG39" s="344"/>
      <c r="AH39" s="1020">
        <v>50</v>
      </c>
      <c r="AI39" s="1021" t="s">
        <v>358</v>
      </c>
      <c r="AJ39" s="1020" t="str">
        <f t="shared" si="9"/>
        <v/>
      </c>
      <c r="AK39" s="1021" t="str">
        <f t="shared" si="10"/>
        <v/>
      </c>
      <c r="AL39" s="1020"/>
      <c r="AM39" s="1033" t="str">
        <f t="shared" si="7"/>
        <v/>
      </c>
      <c r="AN39" s="1021" t="str">
        <f t="shared" si="8"/>
        <v/>
      </c>
      <c r="AO39" s="1034"/>
      <c r="AQ39" s="1021" t="s">
        <v>59</v>
      </c>
      <c r="AR39" s="1036" t="e">
        <f t="shared" si="11"/>
        <v>#N/A</v>
      </c>
      <c r="AS39" s="1037" t="str">
        <f t="shared" si="12"/>
        <v>0</v>
      </c>
      <c r="AT39" s="1317" t="s">
        <v>662</v>
      </c>
      <c r="AU39" s="1322" t="str">
        <f>IF(AS45="","",+AS45)</f>
        <v>0</v>
      </c>
      <c r="AV39" s="344"/>
      <c r="AW39" s="344"/>
      <c r="AX39" s="344"/>
      <c r="AY39" s="344"/>
      <c r="AZ39" s="344"/>
      <c r="BA39" s="344"/>
      <c r="BB39" s="344"/>
      <c r="BC39" s="344"/>
      <c r="BD39" s="344"/>
      <c r="BE39" s="368" t="s">
        <v>462</v>
      </c>
      <c r="BF39" s="344"/>
      <c r="BG39" s="344"/>
      <c r="BH39" s="344"/>
      <c r="BI39" s="968" t="s">
        <v>542</v>
      </c>
      <c r="BJ39" s="344"/>
      <c r="BK39" s="356"/>
      <c r="BL39" s="967" t="s">
        <v>761</v>
      </c>
      <c r="BM39" s="357"/>
      <c r="BN39" s="357"/>
      <c r="BO39" s="357"/>
      <c r="BP39" s="357"/>
      <c r="BQ39" s="357"/>
      <c r="BR39" s="334"/>
      <c r="BS39" s="334"/>
      <c r="BT39" s="332"/>
      <c r="BU39" s="332"/>
      <c r="BV39" s="332"/>
      <c r="BW39" s="332"/>
      <c r="BX39" s="332"/>
      <c r="BY39" s="332"/>
      <c r="BZ39" s="332"/>
      <c r="CA39" s="332"/>
      <c r="CB39" s="332"/>
      <c r="CC39" s="332"/>
      <c r="CD39" s="332"/>
      <c r="CE39" s="332"/>
      <c r="CF39" s="332"/>
      <c r="CG39" s="332"/>
      <c r="CH39" s="332"/>
      <c r="CI39" s="979"/>
      <c r="CJ39" s="979"/>
      <c r="CK39" s="979"/>
      <c r="CL39" s="979"/>
      <c r="CM39" s="979"/>
      <c r="CN39" s="979"/>
      <c r="CO39" s="979"/>
      <c r="CP39" s="979"/>
      <c r="CQ39" s="979"/>
      <c r="CR39" s="979"/>
      <c r="CS39" s="979"/>
      <c r="CT39" s="979"/>
      <c r="CU39" s="979"/>
      <c r="CV39" s="979"/>
      <c r="CW39" s="979"/>
      <c r="CX39" s="979"/>
      <c r="CY39" s="979"/>
      <c r="CZ39" s="978"/>
      <c r="DA39" s="978"/>
      <c r="DB39" s="978"/>
      <c r="DC39" s="979"/>
      <c r="DD39" s="979"/>
      <c r="DE39" s="979"/>
      <c r="DF39" s="979"/>
      <c r="DG39" s="979"/>
      <c r="DH39" s="979"/>
    </row>
    <row r="40" spans="1:112" ht="14.1" customHeight="1">
      <c r="A40" s="345"/>
      <c r="B40" s="346"/>
      <c r="C40" s="346"/>
      <c r="D40" s="346"/>
      <c r="E40" s="346"/>
      <c r="F40" s="346"/>
      <c r="G40" s="346"/>
      <c r="H40" s="346"/>
      <c r="I40" s="346"/>
      <c r="J40" s="346"/>
      <c r="K40" s="346"/>
      <c r="L40" s="347"/>
      <c r="M40" s="346"/>
      <c r="N40" s="346"/>
      <c r="O40" s="346"/>
      <c r="P40" s="346"/>
      <c r="Q40" s="346"/>
      <c r="R40" s="346"/>
      <c r="S40" s="346"/>
      <c r="T40" s="346"/>
      <c r="U40" s="346"/>
      <c r="V40" s="346"/>
      <c r="W40" s="346"/>
      <c r="X40" s="346"/>
      <c r="Y40" s="346"/>
      <c r="Z40" s="346"/>
      <c r="AA40" s="346"/>
      <c r="AB40" s="346"/>
      <c r="AC40" s="346"/>
      <c r="AD40" s="346"/>
      <c r="AE40" s="346"/>
      <c r="AF40" s="348"/>
      <c r="AH40" s="1020">
        <v>37.5</v>
      </c>
      <c r="AI40" s="1021" t="s">
        <v>359</v>
      </c>
      <c r="AJ40" s="1020" t="str">
        <f t="shared" si="9"/>
        <v/>
      </c>
      <c r="AK40" s="1021" t="str">
        <f t="shared" si="10"/>
        <v/>
      </c>
      <c r="AL40" s="1020"/>
      <c r="AM40" s="1033" t="str">
        <f t="shared" si="7"/>
        <v/>
      </c>
      <c r="AN40" s="1021" t="str">
        <f t="shared" si="8"/>
        <v/>
      </c>
      <c r="AO40" s="971"/>
      <c r="AQ40" s="1021" t="s">
        <v>762</v>
      </c>
      <c r="AR40" s="1036" t="e">
        <f t="shared" si="11"/>
        <v>#N/A</v>
      </c>
      <c r="AS40" s="1037" t="str">
        <f t="shared" si="12"/>
        <v>0</v>
      </c>
      <c r="AT40" s="1317" t="s">
        <v>663</v>
      </c>
      <c r="AU40" s="1322">
        <f>IF(AND(AS47="",AS46=""),"",+AS46+AS47)</f>
        <v>0</v>
      </c>
      <c r="BE40" s="368" t="s">
        <v>463</v>
      </c>
      <c r="BI40" s="968" t="s">
        <v>543</v>
      </c>
      <c r="BK40" s="356"/>
      <c r="BL40" s="967" t="s">
        <v>761</v>
      </c>
      <c r="BM40" s="357"/>
      <c r="BN40" s="357"/>
      <c r="BO40" s="357"/>
      <c r="BP40" s="357"/>
      <c r="BQ40" s="357"/>
      <c r="CZ40" s="978"/>
      <c r="DA40" s="978"/>
      <c r="DB40" s="978"/>
    </row>
    <row r="41" spans="1:112" ht="14.1" customHeight="1">
      <c r="A41" s="345"/>
      <c r="B41" s="346"/>
      <c r="C41" s="346"/>
      <c r="D41" s="346"/>
      <c r="E41" s="346"/>
      <c r="F41" s="346"/>
      <c r="G41" s="346"/>
      <c r="H41" s="346"/>
      <c r="I41" s="346"/>
      <c r="J41" s="346"/>
      <c r="K41" s="346"/>
      <c r="L41" s="347"/>
      <c r="M41" s="346"/>
      <c r="N41" s="346"/>
      <c r="O41" s="346"/>
      <c r="P41" s="346"/>
      <c r="Q41" s="346"/>
      <c r="R41" s="346"/>
      <c r="S41" s="346"/>
      <c r="T41" s="346"/>
      <c r="U41" s="346"/>
      <c r="V41" s="346"/>
      <c r="W41" s="346"/>
      <c r="X41" s="346"/>
      <c r="Y41" s="346"/>
      <c r="Z41" s="346"/>
      <c r="AA41" s="346"/>
      <c r="AB41" s="346"/>
      <c r="AC41" s="346"/>
      <c r="AD41" s="346"/>
      <c r="AE41" s="346"/>
      <c r="AF41" s="348"/>
      <c r="AH41" s="1020">
        <v>25</v>
      </c>
      <c r="AI41" s="1021" t="s">
        <v>59</v>
      </c>
      <c r="AJ41" s="1020" t="str">
        <f t="shared" si="9"/>
        <v/>
      </c>
      <c r="AK41" s="1021" t="str">
        <f t="shared" si="10"/>
        <v/>
      </c>
      <c r="AL41" s="1020"/>
      <c r="AM41" s="1033" t="str">
        <f t="shared" si="7"/>
        <v/>
      </c>
      <c r="AN41" s="1021" t="str">
        <f t="shared" si="8"/>
        <v/>
      </c>
      <c r="AO41" s="971"/>
      <c r="AQ41" s="1021" t="s">
        <v>62</v>
      </c>
      <c r="AR41" s="1036" t="e">
        <f t="shared" si="11"/>
        <v>#N/A</v>
      </c>
      <c r="AS41" s="1037" t="str">
        <f t="shared" si="12"/>
        <v>0</v>
      </c>
      <c r="AT41" s="1317" t="s">
        <v>664</v>
      </c>
      <c r="AU41" s="1322" t="str">
        <f>IF(AND(AS48="",AS48=""),"",+AS48)</f>
        <v>0</v>
      </c>
      <c r="BE41" s="368" t="s">
        <v>464</v>
      </c>
      <c r="BI41" s="971" t="s">
        <v>763</v>
      </c>
      <c r="BK41" s="356"/>
      <c r="BL41" s="967" t="s">
        <v>764</v>
      </c>
      <c r="BM41" s="357"/>
      <c r="BN41" s="357"/>
      <c r="BO41" s="357"/>
      <c r="BP41" s="357"/>
      <c r="BQ41" s="357"/>
      <c r="CZ41" s="978"/>
      <c r="DA41" s="978"/>
      <c r="DB41" s="978"/>
    </row>
    <row r="42" spans="1:112" ht="12" customHeight="1">
      <c r="A42" s="1910" t="s">
        <v>20</v>
      </c>
      <c r="B42" s="1911"/>
      <c r="C42" s="1911"/>
      <c r="D42" s="1911"/>
      <c r="E42" s="1911"/>
      <c r="F42" s="943"/>
      <c r="G42" s="1912"/>
      <c r="H42" s="1912"/>
      <c r="I42" s="1912"/>
      <c r="J42" s="1912"/>
      <c r="K42" s="1912"/>
      <c r="L42" s="1912"/>
      <c r="M42" s="1912"/>
      <c r="N42" s="1912"/>
      <c r="O42" s="1912"/>
      <c r="P42" s="1912"/>
      <c r="Q42" s="1912"/>
      <c r="R42" s="1912"/>
      <c r="S42" s="1912"/>
      <c r="T42" s="1912"/>
      <c r="U42" s="1912"/>
      <c r="V42" s="1912"/>
      <c r="W42" s="1912"/>
      <c r="X42" s="1912"/>
      <c r="Y42" s="1912"/>
      <c r="Z42" s="1912"/>
      <c r="AA42" s="1912"/>
      <c r="AB42" s="1912"/>
      <c r="AC42" s="1912"/>
      <c r="AD42" s="1912"/>
      <c r="AE42" s="1912"/>
      <c r="AF42" s="1913"/>
      <c r="AH42" s="1020">
        <v>19</v>
      </c>
      <c r="AI42" s="1021" t="s">
        <v>61</v>
      </c>
      <c r="AJ42" s="1020" t="str">
        <f t="shared" si="9"/>
        <v/>
      </c>
      <c r="AK42" s="1021" t="str">
        <f>IF(AL42="","",VLOOKUP(AJ42,$AH$35:$AI$56,2,0))</f>
        <v/>
      </c>
      <c r="AL42" s="1020"/>
      <c r="AM42" s="1033" t="str">
        <f t="shared" si="7"/>
        <v/>
      </c>
      <c r="AN42" s="1021" t="str">
        <f t="shared" si="8"/>
        <v/>
      </c>
      <c r="AO42" s="971"/>
      <c r="AQ42" s="1021" t="s">
        <v>65</v>
      </c>
      <c r="AR42" s="1036" t="e">
        <f t="shared" si="11"/>
        <v>#N/A</v>
      </c>
      <c r="AS42" s="1037" t="str">
        <f t="shared" si="12"/>
        <v>0</v>
      </c>
      <c r="AT42" s="1317" t="s">
        <v>665</v>
      </c>
      <c r="AU42" s="1322">
        <f>IF(AND(AS49="",AS49="",AS50=""),"",+AS49+AS50)</f>
        <v>0</v>
      </c>
      <c r="BE42" s="341" t="s">
        <v>522</v>
      </c>
      <c r="BI42" s="971" t="s">
        <v>765</v>
      </c>
      <c r="BK42" s="356"/>
      <c r="BL42" s="967" t="s">
        <v>764</v>
      </c>
      <c r="BM42" s="357"/>
      <c r="BN42" s="357"/>
      <c r="BO42" s="357"/>
      <c r="BP42" s="357"/>
      <c r="BQ42" s="357"/>
      <c r="CZ42" s="978"/>
      <c r="DA42" s="978"/>
      <c r="DB42" s="978"/>
    </row>
    <row r="43" spans="1:112" ht="12" customHeight="1">
      <c r="A43" s="1843" t="str">
        <f>+IF(E7=BE49,"Modulo de finura","")</f>
        <v/>
      </c>
      <c r="B43" s="1844"/>
      <c r="C43" s="1844"/>
      <c r="D43" s="1844"/>
      <c r="E43" s="1844"/>
      <c r="F43" s="1845" t="str">
        <f>IF(A43="","",AI71)</f>
        <v/>
      </c>
      <c r="G43" s="1845"/>
      <c r="H43" s="1846"/>
      <c r="I43" s="1846"/>
      <c r="J43" s="1846"/>
      <c r="K43" s="1846"/>
      <c r="L43" s="1846"/>
      <c r="M43" s="1846"/>
      <c r="N43" s="1846"/>
      <c r="O43" s="1846"/>
      <c r="P43" s="1846"/>
      <c r="Q43" s="1846"/>
      <c r="R43" s="1846"/>
      <c r="S43" s="1846"/>
      <c r="T43" s="1846"/>
      <c r="U43" s="1846"/>
      <c r="V43" s="1846"/>
      <c r="W43" s="1846"/>
      <c r="X43" s="1846"/>
      <c r="Y43" s="1846"/>
      <c r="Z43" s="1846"/>
      <c r="AA43" s="1846"/>
      <c r="AB43" s="1846"/>
      <c r="AC43" s="1846"/>
      <c r="AD43" s="1846"/>
      <c r="AE43" s="1846"/>
      <c r="AF43" s="1847"/>
      <c r="AH43" s="1020">
        <v>12.5</v>
      </c>
      <c r="AI43" s="1021" t="s">
        <v>62</v>
      </c>
      <c r="AJ43" s="1020" t="str">
        <f t="shared" si="9"/>
        <v/>
      </c>
      <c r="AK43" s="1021" t="str">
        <f t="shared" si="10"/>
        <v/>
      </c>
      <c r="AL43" s="1020"/>
      <c r="AM43" s="1033" t="str">
        <f t="shared" si="7"/>
        <v/>
      </c>
      <c r="AN43" s="1021"/>
      <c r="AO43" s="971"/>
      <c r="AQ43" s="1021" t="s">
        <v>495</v>
      </c>
      <c r="AR43" s="1036" t="e">
        <f t="shared" si="11"/>
        <v>#N/A</v>
      </c>
      <c r="AS43" s="1037" t="str">
        <f t="shared" si="12"/>
        <v>0</v>
      </c>
      <c r="AT43" s="1323" t="s">
        <v>666</v>
      </c>
      <c r="AU43" s="1322">
        <f>IF(AND(AS36="",AS36="",AS37=""),"",+AS36+AS37)</f>
        <v>0</v>
      </c>
      <c r="AV43" s="1876"/>
      <c r="AW43" s="1877"/>
      <c r="BE43" s="114" t="s">
        <v>766</v>
      </c>
      <c r="BI43" s="971" t="s">
        <v>767</v>
      </c>
      <c r="BK43" s="356"/>
      <c r="BL43" s="967" t="s">
        <v>764</v>
      </c>
      <c r="BM43" s="357"/>
      <c r="BN43" s="357"/>
      <c r="BO43" s="357"/>
      <c r="BP43" s="357"/>
      <c r="BQ43" s="357"/>
      <c r="CZ43" s="978"/>
      <c r="DA43" s="978"/>
      <c r="DB43" s="978"/>
    </row>
    <row r="44" spans="1:112" ht="12.95" customHeight="1">
      <c r="A44" s="1890"/>
      <c r="B44" s="1891"/>
      <c r="C44" s="1891"/>
      <c r="D44" s="1891"/>
      <c r="E44" s="1891"/>
      <c r="F44" s="1891"/>
      <c r="G44" s="1891"/>
      <c r="H44" s="1892"/>
      <c r="I44" s="1899" t="s">
        <v>10</v>
      </c>
      <c r="J44" s="1900"/>
      <c r="K44" s="1900"/>
      <c r="L44" s="1900"/>
      <c r="M44" s="1900"/>
      <c r="N44" s="1900"/>
      <c r="O44" s="1900"/>
      <c r="P44" s="1901"/>
      <c r="Q44" s="1899" t="s">
        <v>22</v>
      </c>
      <c r="R44" s="1900"/>
      <c r="S44" s="1900"/>
      <c r="T44" s="1900"/>
      <c r="U44" s="1900"/>
      <c r="V44" s="1900"/>
      <c r="W44" s="1900"/>
      <c r="X44" s="1901"/>
      <c r="Y44" s="1902" t="s">
        <v>23</v>
      </c>
      <c r="Z44" s="1903"/>
      <c r="AA44" s="1903"/>
      <c r="AB44" s="1903"/>
      <c r="AC44" s="1903"/>
      <c r="AD44" s="1903"/>
      <c r="AE44" s="1903"/>
      <c r="AF44" s="1904"/>
      <c r="AH44" s="1020">
        <v>9.5</v>
      </c>
      <c r="AI44" s="1021" t="s">
        <v>65</v>
      </c>
      <c r="AJ44" s="1020" t="str">
        <f t="shared" si="9"/>
        <v/>
      </c>
      <c r="AK44" s="1021" t="str">
        <f t="shared" si="10"/>
        <v/>
      </c>
      <c r="AL44" s="1020"/>
      <c r="AM44" s="1033" t="str">
        <f t="shared" si="7"/>
        <v/>
      </c>
      <c r="AN44" s="1021"/>
      <c r="AO44" s="971"/>
      <c r="AQ44" s="1021" t="s">
        <v>372</v>
      </c>
      <c r="AR44" s="1036" t="e">
        <f t="shared" si="11"/>
        <v>#N/A</v>
      </c>
      <c r="AS44" s="1037" t="str">
        <f t="shared" si="12"/>
        <v>0</v>
      </c>
      <c r="AT44" s="1323" t="s">
        <v>667</v>
      </c>
      <c r="AU44" s="1322" t="str">
        <f>IF(AND(AS38="",AS38=""),"",+AS38)</f>
        <v>0</v>
      </c>
      <c r="AV44" s="1876"/>
      <c r="AW44" s="1877"/>
      <c r="BE44" s="969" t="s">
        <v>571</v>
      </c>
      <c r="BI44" s="971" t="s">
        <v>768</v>
      </c>
      <c r="BK44" s="356"/>
      <c r="BL44" s="967" t="s">
        <v>764</v>
      </c>
      <c r="BM44" s="357"/>
      <c r="BN44" s="357"/>
      <c r="BO44" s="357"/>
      <c r="BP44" s="357"/>
      <c r="BQ44" s="357"/>
      <c r="CZ44" s="978"/>
      <c r="DA44" s="978"/>
      <c r="DB44" s="978"/>
    </row>
    <row r="45" spans="1:112" ht="45" customHeight="1">
      <c r="A45" s="1862" t="s">
        <v>13</v>
      </c>
      <c r="B45" s="1863"/>
      <c r="C45" s="1863"/>
      <c r="D45" s="1863"/>
      <c r="E45" s="1863"/>
      <c r="F45" s="1863"/>
      <c r="G45" s="1863"/>
      <c r="H45" s="1864"/>
      <c r="I45" s="1865"/>
      <c r="J45" s="1866"/>
      <c r="K45" s="1866"/>
      <c r="L45" s="1866"/>
      <c r="M45" s="1866"/>
      <c r="N45" s="1866"/>
      <c r="O45" s="1866"/>
      <c r="P45" s="1867"/>
      <c r="Q45" s="1865"/>
      <c r="R45" s="1866"/>
      <c r="S45" s="1866"/>
      <c r="T45" s="1866"/>
      <c r="U45" s="1866"/>
      <c r="V45" s="1866"/>
      <c r="W45" s="1866"/>
      <c r="X45" s="1867"/>
      <c r="Y45" s="1868"/>
      <c r="Z45" s="1869"/>
      <c r="AA45" s="1869"/>
      <c r="AB45" s="1869"/>
      <c r="AC45" s="1869"/>
      <c r="AD45" s="1869"/>
      <c r="AE45" s="1869"/>
      <c r="AF45" s="1870"/>
      <c r="AH45" s="1020">
        <f>25.4/4</f>
        <v>6.35</v>
      </c>
      <c r="AI45" s="1021" t="s">
        <v>495</v>
      </c>
      <c r="AJ45" s="1023"/>
      <c r="AK45" s="1023"/>
      <c r="AL45" s="1034"/>
      <c r="AM45" s="1017"/>
      <c r="AN45" s="1017"/>
      <c r="AO45" s="1017"/>
      <c r="AQ45" s="1021" t="s">
        <v>373</v>
      </c>
      <c r="AR45" s="1036" t="e">
        <f t="shared" si="11"/>
        <v>#N/A</v>
      </c>
      <c r="AS45" s="1037" t="str">
        <f t="shared" si="12"/>
        <v>0</v>
      </c>
      <c r="AT45" s="1324" t="s">
        <v>670</v>
      </c>
      <c r="AU45" s="1325" t="str">
        <f>IF(AND(AS39="",AS39=""),"",AS39)</f>
        <v>0</v>
      </c>
      <c r="AV45" s="1876"/>
      <c r="AW45" s="1877"/>
      <c r="BE45" s="969" t="s">
        <v>570</v>
      </c>
      <c r="BI45" s="969" t="s">
        <v>571</v>
      </c>
      <c r="BK45" s="356"/>
      <c r="BL45" s="967" t="s">
        <v>769</v>
      </c>
      <c r="BM45" s="357"/>
      <c r="BN45" s="357"/>
      <c r="BO45" s="357"/>
      <c r="BP45" s="357"/>
      <c r="BQ45" s="357"/>
      <c r="CZ45" s="978"/>
      <c r="DA45" s="978"/>
      <c r="DB45" s="978"/>
    </row>
    <row r="46" spans="1:112" ht="15" customHeight="1">
      <c r="A46" s="1862" t="s">
        <v>610</v>
      </c>
      <c r="B46" s="1863"/>
      <c r="C46" s="1863"/>
      <c r="D46" s="1863"/>
      <c r="E46" s="1863"/>
      <c r="F46" s="1863"/>
      <c r="G46" s="1863"/>
      <c r="H46" s="1864"/>
      <c r="I46" s="1871" t="s">
        <v>560</v>
      </c>
      <c r="J46" s="1872"/>
      <c r="K46" s="1872"/>
      <c r="L46" s="1872"/>
      <c r="M46" s="1872"/>
      <c r="N46" s="1872"/>
      <c r="O46" s="1872"/>
      <c r="P46" s="1873"/>
      <c r="Q46" s="1871" t="s">
        <v>560</v>
      </c>
      <c r="R46" s="1872"/>
      <c r="S46" s="1872"/>
      <c r="T46" s="1872"/>
      <c r="U46" s="1872"/>
      <c r="V46" s="1872"/>
      <c r="W46" s="1872"/>
      <c r="X46" s="1873"/>
      <c r="Y46" s="1896" t="s">
        <v>560</v>
      </c>
      <c r="Z46" s="1897"/>
      <c r="AA46" s="1897"/>
      <c r="AB46" s="1897"/>
      <c r="AC46" s="1897"/>
      <c r="AD46" s="1897"/>
      <c r="AE46" s="1897"/>
      <c r="AF46" s="1898"/>
      <c r="AH46" s="1020">
        <v>4.75</v>
      </c>
      <c r="AI46" s="1021" t="s">
        <v>372</v>
      </c>
      <c r="AJ46" s="1023"/>
      <c r="AK46" s="1023"/>
      <c r="AL46" s="346"/>
      <c r="AM46" s="1017"/>
      <c r="AN46" s="1017"/>
      <c r="AO46" s="1017"/>
      <c r="AQ46" s="1021" t="s">
        <v>380</v>
      </c>
      <c r="AR46" s="1036" t="e">
        <f t="shared" si="11"/>
        <v>#N/A</v>
      </c>
      <c r="AS46" s="1037" t="str">
        <f t="shared" si="12"/>
        <v>0</v>
      </c>
      <c r="AT46" s="1324" t="s">
        <v>671</v>
      </c>
      <c r="AU46" s="1325" t="str">
        <f>IF(AND(AS40="",AS40=""),"",+AS40)</f>
        <v>0</v>
      </c>
      <c r="AV46" s="1874"/>
      <c r="AW46" s="1875"/>
      <c r="BE46" s="969" t="s">
        <v>569</v>
      </c>
      <c r="BI46" s="969" t="s">
        <v>570</v>
      </c>
      <c r="BK46" s="356"/>
      <c r="BL46" s="967" t="s">
        <v>769</v>
      </c>
      <c r="BM46" s="357"/>
      <c r="BN46" s="357"/>
      <c r="BO46" s="357"/>
      <c r="BP46" s="357"/>
      <c r="BQ46" s="357"/>
      <c r="CZ46" s="978"/>
      <c r="DA46" s="978"/>
      <c r="DB46" s="978"/>
    </row>
    <row r="47" spans="1:112" ht="15" customHeight="1" thickBot="1">
      <c r="A47" s="1893" t="s">
        <v>14</v>
      </c>
      <c r="B47" s="1894"/>
      <c r="C47" s="1894"/>
      <c r="D47" s="1894"/>
      <c r="E47" s="1894"/>
      <c r="F47" s="1894"/>
      <c r="G47" s="1894"/>
      <c r="H47" s="1895"/>
      <c r="I47" s="1854" t="str">
        <f>IF(I46="--","",VLOOKUP(I46,firmas!A2:B31,2,0))</f>
        <v/>
      </c>
      <c r="J47" s="1855"/>
      <c r="K47" s="1855"/>
      <c r="L47" s="1855"/>
      <c r="M47" s="1855"/>
      <c r="N47" s="1855"/>
      <c r="O47" s="1855"/>
      <c r="P47" s="1856"/>
      <c r="Q47" s="1854" t="str">
        <f>IF(Q46="--","",VLOOKUP(Q46,firmas!A33:B35,2,0))</f>
        <v/>
      </c>
      <c r="R47" s="1855"/>
      <c r="S47" s="1855"/>
      <c r="T47" s="1855"/>
      <c r="U47" s="1855"/>
      <c r="V47" s="1855"/>
      <c r="W47" s="1855"/>
      <c r="X47" s="1856"/>
      <c r="Y47" s="1857" t="str">
        <f>IF(Y46="--","",VLOOKUP(Y46,firmas!A37:B38,2))</f>
        <v/>
      </c>
      <c r="Z47" s="1858"/>
      <c r="AA47" s="1858"/>
      <c r="AB47" s="1858"/>
      <c r="AC47" s="1858"/>
      <c r="AD47" s="1858"/>
      <c r="AE47" s="1858"/>
      <c r="AF47" s="1859"/>
      <c r="AH47" s="1020">
        <v>2.36</v>
      </c>
      <c r="AI47" s="1021" t="s">
        <v>373</v>
      </c>
      <c r="AJ47" s="1023"/>
      <c r="AK47" s="1023"/>
      <c r="AL47" s="346"/>
      <c r="AM47" s="1017"/>
      <c r="AN47" s="1017"/>
      <c r="AO47" s="1017"/>
      <c r="AQ47" s="1021" t="s">
        <v>374</v>
      </c>
      <c r="AR47" s="1036" t="e">
        <f t="shared" si="11"/>
        <v>#N/A</v>
      </c>
      <c r="AS47" s="1037" t="str">
        <f t="shared" si="12"/>
        <v>0</v>
      </c>
      <c r="AT47" s="1326" t="s">
        <v>669</v>
      </c>
      <c r="AU47" s="1325" t="str">
        <f>IF(AND(AS41="",AS41=""),"",+AS41)</f>
        <v>0</v>
      </c>
      <c r="AV47" s="1876"/>
      <c r="AW47" s="1877"/>
      <c r="BE47" s="969" t="s">
        <v>568</v>
      </c>
      <c r="BI47" s="969" t="s">
        <v>569</v>
      </c>
      <c r="BK47" s="356"/>
      <c r="BL47" s="967" t="s">
        <v>769</v>
      </c>
      <c r="BM47" s="357"/>
      <c r="BN47" s="357"/>
      <c r="BO47" s="357"/>
      <c r="BP47" s="357"/>
      <c r="BQ47" s="357"/>
      <c r="CZ47" s="978"/>
      <c r="DA47" s="978"/>
      <c r="DB47" s="978"/>
    </row>
    <row r="48" spans="1:112" ht="15" customHeight="1" thickTop="1" thickBot="1">
      <c r="A48" s="1860" t="s">
        <v>24</v>
      </c>
      <c r="B48" s="1860"/>
      <c r="C48" s="1860"/>
      <c r="D48" s="1860"/>
      <c r="E48" s="1860"/>
      <c r="F48" s="1860"/>
      <c r="G48" s="1860"/>
      <c r="H48" s="1860"/>
      <c r="I48" s="1860"/>
      <c r="J48" s="1860"/>
      <c r="K48" s="1860"/>
      <c r="L48" s="1860"/>
      <c r="M48" s="1860"/>
      <c r="N48" s="1860"/>
      <c r="O48" s="1860"/>
      <c r="P48" s="1860"/>
      <c r="Q48" s="1860"/>
      <c r="R48" s="1860"/>
      <c r="S48" s="1860"/>
      <c r="T48" s="1860"/>
      <c r="U48" s="1860"/>
      <c r="V48" s="1860"/>
      <c r="W48" s="1860"/>
      <c r="X48" s="1860"/>
      <c r="Y48" s="1860"/>
      <c r="Z48" s="1860"/>
      <c r="AA48" s="1860"/>
      <c r="AB48" s="1860"/>
      <c r="AC48" s="1860"/>
      <c r="AD48" s="1860"/>
      <c r="AE48" s="1860"/>
      <c r="AF48" s="1860"/>
      <c r="AH48" s="1020">
        <v>2</v>
      </c>
      <c r="AI48" s="1021" t="s">
        <v>380</v>
      </c>
      <c r="AJ48" s="1023"/>
      <c r="AK48" s="1023"/>
      <c r="AL48" s="346"/>
      <c r="AM48" s="1017"/>
      <c r="AN48" s="1017"/>
      <c r="AO48" s="1017"/>
      <c r="AQ48" s="1021" t="s">
        <v>375</v>
      </c>
      <c r="AR48" s="1036" t="e">
        <f t="shared" si="11"/>
        <v>#N/A</v>
      </c>
      <c r="AS48" s="1037" t="str">
        <f t="shared" si="12"/>
        <v>0</v>
      </c>
      <c r="AT48" s="1039" t="s">
        <v>668</v>
      </c>
      <c r="AU48" s="1325" t="str">
        <f>IF(AND(AS42="",AS42=""),"",+AS42)</f>
        <v>0</v>
      </c>
      <c r="AV48" s="1874"/>
      <c r="AW48" s="1875"/>
      <c r="BE48" s="969" t="s">
        <v>567</v>
      </c>
      <c r="BI48" s="969" t="s">
        <v>568</v>
      </c>
      <c r="BK48" s="356"/>
      <c r="BL48" s="967" t="s">
        <v>769</v>
      </c>
      <c r="BM48" s="357"/>
      <c r="BN48" s="357"/>
      <c r="BO48" s="357"/>
      <c r="BP48" s="357"/>
      <c r="BQ48" s="357"/>
    </row>
    <row r="49" spans="1:112" ht="18" customHeight="1" thickTop="1">
      <c r="A49" s="1861" t="s">
        <v>25</v>
      </c>
      <c r="B49" s="1861"/>
      <c r="C49" s="1861"/>
      <c r="D49" s="1861"/>
      <c r="E49" s="1861"/>
      <c r="F49" s="1861"/>
      <c r="G49" s="1861"/>
      <c r="H49" s="1861"/>
      <c r="I49" s="1861"/>
      <c r="J49" s="1861"/>
      <c r="K49" s="1861"/>
      <c r="L49" s="1861"/>
      <c r="M49" s="1861"/>
      <c r="N49" s="1861"/>
      <c r="O49" s="1861"/>
      <c r="P49" s="1861"/>
      <c r="Q49" s="1861"/>
      <c r="R49" s="1861"/>
      <c r="S49" s="1861"/>
      <c r="T49" s="1861"/>
      <c r="U49" s="1861"/>
      <c r="V49" s="1861"/>
      <c r="W49" s="1861"/>
      <c r="X49" s="1861"/>
      <c r="Y49" s="1861"/>
      <c r="Z49" s="1861"/>
      <c r="AA49" s="1861"/>
      <c r="AB49" s="1861"/>
      <c r="AC49" s="1861"/>
      <c r="AD49" s="1861"/>
      <c r="AE49" s="1861"/>
      <c r="AF49" s="1861"/>
      <c r="AH49" s="1020">
        <v>1.18</v>
      </c>
      <c r="AI49" s="1021" t="s">
        <v>374</v>
      </c>
      <c r="AJ49" s="1023"/>
      <c r="AK49" s="1023"/>
      <c r="AL49" s="346"/>
      <c r="AM49" s="1017"/>
      <c r="AN49" s="1017"/>
      <c r="AO49" s="1017"/>
      <c r="AQ49" s="1021" t="s">
        <v>376</v>
      </c>
      <c r="AR49" s="1036" t="e">
        <f t="shared" si="11"/>
        <v>#N/A</v>
      </c>
      <c r="AS49" s="1037" t="str">
        <f t="shared" si="12"/>
        <v>0</v>
      </c>
      <c r="AV49" s="1874"/>
      <c r="AW49" s="1875"/>
      <c r="BE49" s="114" t="s">
        <v>770</v>
      </c>
      <c r="BI49" s="969" t="s">
        <v>567</v>
      </c>
      <c r="BK49" s="356"/>
      <c r="BL49" s="967" t="s">
        <v>769</v>
      </c>
      <c r="BM49" s="357"/>
      <c r="BN49" s="357"/>
      <c r="BO49" s="357"/>
      <c r="BP49" s="357"/>
      <c r="BQ49" s="357"/>
    </row>
    <row r="50" spans="1:112" ht="27.95" customHeight="1">
      <c r="A50" s="1783" t="s">
        <v>16</v>
      </c>
      <c r="B50" s="1783"/>
      <c r="C50" s="1783"/>
      <c r="D50" s="1783"/>
      <c r="E50" s="1783"/>
      <c r="F50" s="1783"/>
      <c r="G50" s="1783"/>
      <c r="H50" s="1783"/>
      <c r="I50" s="1783"/>
      <c r="J50" s="1783"/>
      <c r="K50" s="1783"/>
      <c r="L50" s="1783"/>
      <c r="M50" s="1783"/>
      <c r="N50" s="1783"/>
      <c r="O50" s="1783"/>
      <c r="P50" s="1783"/>
      <c r="Q50" s="1783"/>
      <c r="R50" s="1783"/>
      <c r="S50" s="1783"/>
      <c r="T50" s="1783"/>
      <c r="U50" s="1783"/>
      <c r="V50" s="1783"/>
      <c r="W50" s="1783"/>
      <c r="X50" s="1783"/>
      <c r="Y50" s="1783"/>
      <c r="Z50" s="1783"/>
      <c r="AA50" s="1783"/>
      <c r="AB50" s="1783"/>
      <c r="AC50" s="1783"/>
      <c r="AD50" s="1783"/>
      <c r="AE50" s="1783"/>
      <c r="AF50" s="1783"/>
      <c r="AH50" s="1020">
        <v>0.6</v>
      </c>
      <c r="AI50" s="1021" t="s">
        <v>375</v>
      </c>
      <c r="AJ50" s="1023"/>
      <c r="AK50" s="1023"/>
      <c r="AL50" s="346"/>
      <c r="AM50" s="1017"/>
      <c r="AN50" s="1017"/>
      <c r="AO50" s="1017"/>
      <c r="AQ50" s="1021" t="s">
        <v>377</v>
      </c>
      <c r="AR50" s="1036" t="e">
        <f t="shared" si="11"/>
        <v>#N/A</v>
      </c>
      <c r="AS50" s="1037" t="str">
        <f t="shared" si="12"/>
        <v>0</v>
      </c>
      <c r="BE50" s="966" t="s">
        <v>563</v>
      </c>
      <c r="BI50" s="966" t="s">
        <v>771</v>
      </c>
      <c r="BK50" s="356"/>
      <c r="BL50" s="967" t="s">
        <v>772</v>
      </c>
      <c r="BM50" s="357"/>
      <c r="BN50" s="357"/>
      <c r="BO50" s="357"/>
      <c r="BP50" s="357"/>
      <c r="BQ50" s="357"/>
    </row>
    <row r="51" spans="1:112" ht="9.75" customHeight="1">
      <c r="A51" s="88"/>
      <c r="B51" s="88"/>
      <c r="C51" s="88"/>
      <c r="D51" s="88"/>
      <c r="E51" s="88"/>
      <c r="F51" s="88"/>
      <c r="G51" s="88"/>
      <c r="H51" s="88"/>
      <c r="I51" s="88"/>
      <c r="J51" s="88"/>
      <c r="K51" s="88"/>
      <c r="L51" s="90"/>
      <c r="M51" s="88"/>
      <c r="N51" s="88"/>
      <c r="O51" s="88"/>
      <c r="P51" s="88"/>
      <c r="Q51" s="88"/>
      <c r="R51" s="88"/>
      <c r="S51" s="88"/>
      <c r="T51" s="88"/>
      <c r="U51" s="88"/>
      <c r="V51" s="88"/>
      <c r="W51" s="88"/>
      <c r="X51" s="88"/>
      <c r="Y51" s="88"/>
      <c r="Z51" s="88"/>
      <c r="AA51" s="1"/>
      <c r="AB51" s="1"/>
      <c r="AC51" s="1"/>
      <c r="AD51" s="1"/>
      <c r="AE51" s="2008"/>
      <c r="AF51" s="2008"/>
      <c r="AH51" s="1020">
        <v>0.43</v>
      </c>
      <c r="AI51" s="1021" t="s">
        <v>376</v>
      </c>
      <c r="AJ51" s="1023"/>
      <c r="AK51" s="1023"/>
      <c r="AL51" s="346"/>
      <c r="AM51" s="1017"/>
      <c r="AN51" s="1017"/>
      <c r="AO51" s="1017"/>
      <c r="AT51" s="1039"/>
      <c r="AU51" s="1038"/>
      <c r="BE51" s="969" t="s">
        <v>566</v>
      </c>
      <c r="BI51" s="966" t="s">
        <v>773</v>
      </c>
      <c r="BK51" s="356"/>
      <c r="BL51" s="967" t="s">
        <v>772</v>
      </c>
      <c r="BM51" s="357"/>
      <c r="BN51" s="357"/>
      <c r="BO51" s="357"/>
      <c r="BP51" s="357"/>
      <c r="BQ51" s="357"/>
    </row>
    <row r="52" spans="1:112" ht="14.1" customHeight="1">
      <c r="A52" s="1848" t="s">
        <v>352</v>
      </c>
      <c r="B52" s="1849"/>
      <c r="C52" s="1849"/>
      <c r="D52" s="1849"/>
      <c r="E52" s="1849"/>
      <c r="F52" s="1849"/>
      <c r="G52" s="1849"/>
      <c r="H52" s="1849"/>
      <c r="I52" s="1850"/>
      <c r="J52" s="1850"/>
      <c r="K52" s="1850"/>
      <c r="L52" s="1850"/>
      <c r="M52" s="1851"/>
      <c r="N52" s="1848" t="s">
        <v>756</v>
      </c>
      <c r="O52" s="1849"/>
      <c r="P52" s="1849"/>
      <c r="Q52" s="1849"/>
      <c r="R52" s="1849"/>
      <c r="S52" s="1849"/>
      <c r="T52" s="1849"/>
      <c r="U52" s="1849"/>
      <c r="V52" s="1849"/>
      <c r="W52" s="1849"/>
      <c r="X52" s="1849"/>
      <c r="Y52" s="1852"/>
      <c r="Z52" s="1852"/>
      <c r="AA52" s="1852"/>
      <c r="AB52" s="1852"/>
      <c r="AC52" s="1852"/>
      <c r="AD52" s="1852"/>
      <c r="AE52" s="1852"/>
      <c r="AF52" s="1853"/>
      <c r="AH52" s="1020">
        <v>0.3</v>
      </c>
      <c r="AI52" s="1021" t="s">
        <v>377</v>
      </c>
      <c r="AJ52" s="1023"/>
      <c r="AK52" s="1023"/>
      <c r="AL52" s="346"/>
      <c r="AM52" s="1017"/>
      <c r="AN52" s="1017"/>
      <c r="AO52" s="1017"/>
      <c r="BE52" s="969" t="s">
        <v>565</v>
      </c>
      <c r="BI52" s="966" t="s">
        <v>563</v>
      </c>
      <c r="BK52" s="356"/>
      <c r="BL52" s="967"/>
      <c r="BM52" s="357"/>
      <c r="BN52" s="357"/>
      <c r="BO52" s="357"/>
      <c r="BP52" s="357"/>
      <c r="BQ52" s="357"/>
    </row>
    <row r="53" spans="1:112" ht="12.95" customHeight="1">
      <c r="A53" s="1817" t="s">
        <v>517</v>
      </c>
      <c r="B53" s="1818"/>
      <c r="C53" s="1818"/>
      <c r="D53" s="1819"/>
      <c r="E53" s="1823" t="s">
        <v>516</v>
      </c>
      <c r="F53" s="1824"/>
      <c r="G53" s="1824"/>
      <c r="H53" s="1825"/>
      <c r="I53" s="1829" t="s">
        <v>774</v>
      </c>
      <c r="J53" s="1830"/>
      <c r="K53" s="1830"/>
      <c r="L53" s="1830"/>
      <c r="M53" s="1830"/>
      <c r="N53" s="1830"/>
      <c r="O53" s="1830"/>
      <c r="P53" s="1831"/>
      <c r="Q53" s="1835" t="s">
        <v>368</v>
      </c>
      <c r="R53" s="1835"/>
      <c r="S53" s="1835"/>
      <c r="T53" s="1835"/>
      <c r="U53" s="1835"/>
      <c r="V53" s="1835"/>
      <c r="W53" s="1835"/>
      <c r="X53" s="1835"/>
      <c r="Y53" s="1327" t="s">
        <v>774</v>
      </c>
      <c r="Z53" s="1328"/>
      <c r="AA53" s="1328"/>
      <c r="AB53" s="1328"/>
      <c r="AC53" s="1328"/>
      <c r="AD53" s="1328"/>
      <c r="AE53" s="1328"/>
      <c r="AF53" s="1329"/>
      <c r="AH53" s="1020">
        <v>0.18</v>
      </c>
      <c r="AI53" s="1021" t="s">
        <v>562</v>
      </c>
      <c r="AJ53" s="1023"/>
      <c r="AK53" s="1023"/>
      <c r="AL53" s="346"/>
      <c r="AM53" s="1017"/>
      <c r="AN53" s="1017"/>
      <c r="AO53" s="1017"/>
      <c r="BE53" s="969" t="s">
        <v>564</v>
      </c>
      <c r="BI53" s="969" t="s">
        <v>566</v>
      </c>
      <c r="BL53" s="967" t="s">
        <v>775</v>
      </c>
    </row>
    <row r="54" spans="1:112" ht="38.1" customHeight="1">
      <c r="A54" s="1820"/>
      <c r="B54" s="1821"/>
      <c r="C54" s="1821"/>
      <c r="D54" s="1822"/>
      <c r="E54" s="1826"/>
      <c r="F54" s="1827"/>
      <c r="G54" s="1827"/>
      <c r="H54" s="1828"/>
      <c r="I54" s="1832"/>
      <c r="J54" s="1833"/>
      <c r="K54" s="1833"/>
      <c r="L54" s="1833"/>
      <c r="M54" s="1833"/>
      <c r="N54" s="1833"/>
      <c r="O54" s="1833"/>
      <c r="P54" s="1834"/>
      <c r="Q54" s="1835" t="s">
        <v>110</v>
      </c>
      <c r="R54" s="1835"/>
      <c r="S54" s="1835"/>
      <c r="T54" s="1835"/>
      <c r="U54" s="1835" t="s">
        <v>51</v>
      </c>
      <c r="V54" s="1835"/>
      <c r="W54" s="1835"/>
      <c r="X54" s="1835"/>
      <c r="Y54" s="1330"/>
      <c r="Z54" s="1331"/>
      <c r="AA54" s="1331"/>
      <c r="AB54" s="1331"/>
      <c r="AC54" s="1331"/>
      <c r="AD54" s="1331"/>
      <c r="AE54" s="1331"/>
      <c r="AF54" s="1332"/>
      <c r="AH54" s="1020">
        <v>0.15</v>
      </c>
      <c r="AI54" s="1021" t="s">
        <v>378</v>
      </c>
      <c r="AJ54" s="1023"/>
      <c r="AK54" s="1023"/>
      <c r="AL54" s="346"/>
      <c r="AM54" s="1017"/>
      <c r="AN54" s="1017"/>
      <c r="AO54" s="1017"/>
      <c r="BE54" s="971" t="s">
        <v>655</v>
      </c>
      <c r="BI54" s="969" t="s">
        <v>565</v>
      </c>
      <c r="BK54" s="356"/>
      <c r="BL54" s="967" t="s">
        <v>775</v>
      </c>
    </row>
    <row r="55" spans="1:112" ht="16.5" customHeight="1">
      <c r="A55" s="1799" t="str">
        <f>+IFERROR(AB55,"")</f>
        <v/>
      </c>
      <c r="B55" s="1799"/>
      <c r="C55" s="1799"/>
      <c r="D55" s="1799"/>
      <c r="E55" s="1800" t="str">
        <f>+IF(A55="","",AI35)</f>
        <v/>
      </c>
      <c r="F55" s="1801"/>
      <c r="G55" s="1801"/>
      <c r="H55" s="1802"/>
      <c r="I55" s="1815"/>
      <c r="J55" s="1815"/>
      <c r="K55" s="1815"/>
      <c r="L55" s="1815"/>
      <c r="M55" s="1815"/>
      <c r="N55" s="1815"/>
      <c r="O55" s="1815"/>
      <c r="P55" s="1815"/>
      <c r="Q55" s="1804" t="str">
        <f>IF($I$52="","",IF(I55="","",(I55/$I$52)*100))</f>
        <v/>
      </c>
      <c r="R55" s="1805"/>
      <c r="S55" s="1805"/>
      <c r="T55" s="1806"/>
      <c r="U55" s="1804" t="str">
        <f>IF(I52="","",IF(Q55="","",(100-Q55)))</f>
        <v/>
      </c>
      <c r="V55" s="1805"/>
      <c r="W55" s="1805"/>
      <c r="X55" s="1806"/>
      <c r="Y55" s="1807">
        <f>+I55</f>
        <v>0</v>
      </c>
      <c r="Z55" s="1808"/>
      <c r="AA55" s="1809"/>
      <c r="AB55" s="1810" t="e">
        <f>IF((VLOOKUP(AH35,$A$14:$D$23,1,0))="#N/A","",VLOOKUP(AH35,$A$14:$D$23,1,0))</f>
        <v>#N/A</v>
      </c>
      <c r="AC55" s="1810"/>
      <c r="AD55" s="1810"/>
      <c r="AE55" s="1810"/>
      <c r="AF55" s="1333"/>
      <c r="AH55" s="1020">
        <v>7.4999999999999997E-2</v>
      </c>
      <c r="AI55" s="1021" t="s">
        <v>379</v>
      </c>
      <c r="BE55" s="971" t="s">
        <v>654</v>
      </c>
      <c r="BI55" s="969" t="s">
        <v>564</v>
      </c>
      <c r="BK55" s="356"/>
      <c r="BL55" s="967" t="s">
        <v>775</v>
      </c>
    </row>
    <row r="56" spans="1:112" ht="16.5" customHeight="1">
      <c r="A56" s="1799" t="str">
        <f t="shared" ref="A56:A76" si="13">+IFERROR(AB56,"")</f>
        <v/>
      </c>
      <c r="B56" s="1799"/>
      <c r="C56" s="1799"/>
      <c r="D56" s="1799"/>
      <c r="E56" s="1800" t="str">
        <f t="shared" ref="E56:E75" si="14">+IF(A56="","",AI36)</f>
        <v/>
      </c>
      <c r="F56" s="1801"/>
      <c r="G56" s="1801"/>
      <c r="H56" s="1802"/>
      <c r="I56" s="1815"/>
      <c r="J56" s="1815"/>
      <c r="K56" s="1815"/>
      <c r="L56" s="1815"/>
      <c r="M56" s="1815"/>
      <c r="N56" s="1815"/>
      <c r="O56" s="1815"/>
      <c r="P56" s="1815"/>
      <c r="Q56" s="1804" t="str">
        <f t="shared" ref="Q56:Q76" si="15">IF($I$52="","",IF(I56="","",(I56/$I$52)*100))</f>
        <v/>
      </c>
      <c r="R56" s="1805"/>
      <c r="S56" s="1805"/>
      <c r="T56" s="1806"/>
      <c r="U56" s="1804" t="str">
        <f>IF($I$11="","",IF(Q56="","",(U55-Q56)))</f>
        <v/>
      </c>
      <c r="V56" s="1805"/>
      <c r="W56" s="1805"/>
      <c r="X56" s="1806"/>
      <c r="Y56" s="1807">
        <f t="shared" ref="Y56:Y76" si="16">+I56</f>
        <v>0</v>
      </c>
      <c r="Z56" s="1808"/>
      <c r="AA56" s="1809"/>
      <c r="AB56" s="1810" t="e">
        <f t="shared" ref="AB56:AB75" si="17">+VLOOKUP(AH36,$A$14:$D$23,1,0)</f>
        <v>#N/A</v>
      </c>
      <c r="AC56" s="1810"/>
      <c r="AD56" s="1810"/>
      <c r="AE56" s="1810"/>
      <c r="AF56" s="1333"/>
      <c r="AH56" s="1022" t="s">
        <v>51</v>
      </c>
      <c r="AI56" s="1021" t="s">
        <v>625</v>
      </c>
      <c r="BE56" s="971" t="s">
        <v>653</v>
      </c>
      <c r="BI56" s="971" t="s">
        <v>655</v>
      </c>
      <c r="BK56" s="356"/>
      <c r="BL56" s="967" t="s">
        <v>776</v>
      </c>
    </row>
    <row r="57" spans="1:112" s="88" customFormat="1" ht="16.5" customHeight="1">
      <c r="A57" s="1799" t="str">
        <f t="shared" si="13"/>
        <v/>
      </c>
      <c r="B57" s="1799"/>
      <c r="C57" s="1799"/>
      <c r="D57" s="1799"/>
      <c r="E57" s="1800" t="str">
        <f t="shared" si="14"/>
        <v/>
      </c>
      <c r="F57" s="1801"/>
      <c r="G57" s="1801"/>
      <c r="H57" s="1802"/>
      <c r="I57" s="1815"/>
      <c r="J57" s="1815"/>
      <c r="K57" s="1815"/>
      <c r="L57" s="1815"/>
      <c r="M57" s="1815"/>
      <c r="N57" s="1815"/>
      <c r="O57" s="1815"/>
      <c r="P57" s="1815"/>
      <c r="Q57" s="1804" t="str">
        <f>IF($I$52="","",IF(I57="","",(I57/$I$52)*100))</f>
        <v/>
      </c>
      <c r="R57" s="1805"/>
      <c r="S57" s="1805"/>
      <c r="T57" s="1806"/>
      <c r="U57" s="1804" t="str">
        <f t="shared" ref="U57:U76" si="18">IF($I$11="","",IF(Q57="","",(U56-Q57)))</f>
        <v/>
      </c>
      <c r="V57" s="1805"/>
      <c r="W57" s="1805"/>
      <c r="X57" s="1806"/>
      <c r="Y57" s="1807">
        <f t="shared" si="16"/>
        <v>0</v>
      </c>
      <c r="Z57" s="1808"/>
      <c r="AA57" s="1809"/>
      <c r="AB57" s="1810" t="e">
        <f t="shared" si="17"/>
        <v>#N/A</v>
      </c>
      <c r="AC57" s="1810"/>
      <c r="AD57" s="1810"/>
      <c r="AE57" s="1810"/>
      <c r="AF57" s="1333"/>
      <c r="AG57" s="86"/>
      <c r="AH57" s="86"/>
      <c r="AI57" s="86"/>
      <c r="AJ57" s="86"/>
      <c r="AK57" s="86"/>
      <c r="AL57" s="86"/>
      <c r="AM57" s="86"/>
      <c r="AN57" s="86"/>
      <c r="AO57" s="86"/>
      <c r="AP57" s="86"/>
      <c r="AQ57" s="114"/>
      <c r="AR57" s="114"/>
      <c r="AS57" s="114"/>
      <c r="AT57" s="114"/>
      <c r="AU57" s="114"/>
      <c r="AV57" s="86"/>
      <c r="AW57" s="86"/>
      <c r="AX57" s="86"/>
      <c r="AY57" s="86"/>
      <c r="AZ57" s="86"/>
      <c r="BA57" s="86"/>
      <c r="BB57" s="86"/>
      <c r="BC57" s="86"/>
      <c r="BD57" s="86"/>
      <c r="BE57" s="371" t="s">
        <v>777</v>
      </c>
      <c r="BF57" s="86"/>
      <c r="BG57" s="86"/>
      <c r="BH57" s="86"/>
      <c r="BI57" s="971" t="s">
        <v>654</v>
      </c>
      <c r="BJ57" s="87"/>
      <c r="BK57" s="356"/>
      <c r="BL57" s="967" t="s">
        <v>776</v>
      </c>
      <c r="BM57" s="87"/>
      <c r="BN57" s="87"/>
      <c r="BO57" s="87"/>
      <c r="BP57" s="87"/>
      <c r="BQ57" s="87"/>
      <c r="BR57" s="87"/>
      <c r="BS57" s="87"/>
      <c r="BT57" s="87"/>
      <c r="BU57" s="87"/>
      <c r="BV57" s="87"/>
      <c r="BW57" s="87"/>
      <c r="BX57" s="87"/>
      <c r="BY57" s="87"/>
      <c r="BZ57" s="87"/>
      <c r="CA57" s="87"/>
      <c r="CB57" s="87"/>
      <c r="CC57" s="87"/>
      <c r="CD57" s="87"/>
      <c r="CE57" s="87"/>
      <c r="CF57" s="87"/>
      <c r="CG57" s="87"/>
      <c r="CH57" s="87"/>
      <c r="CI57" s="972"/>
      <c r="CJ57" s="972"/>
      <c r="CK57" s="972"/>
      <c r="CL57" s="972"/>
      <c r="CM57" s="972"/>
      <c r="CN57" s="972"/>
      <c r="CO57" s="972"/>
      <c r="CP57" s="972"/>
      <c r="CQ57" s="972"/>
      <c r="CR57" s="972"/>
      <c r="CS57" s="972"/>
      <c r="CT57" s="972"/>
      <c r="CU57" s="980"/>
      <c r="CV57" s="980"/>
      <c r="CW57" s="980"/>
      <c r="CX57" s="980"/>
      <c r="CY57" s="980"/>
      <c r="CZ57" s="980"/>
      <c r="DA57" s="980"/>
      <c r="DB57" s="980"/>
      <c r="DC57" s="980"/>
      <c r="DD57" s="980"/>
      <c r="DE57" s="980"/>
      <c r="DF57" s="980"/>
      <c r="DG57" s="980"/>
      <c r="DH57" s="980"/>
    </row>
    <row r="58" spans="1:112" s="89" customFormat="1" ht="16.5" customHeight="1">
      <c r="A58" s="1799" t="str">
        <f t="shared" si="13"/>
        <v/>
      </c>
      <c r="B58" s="1799"/>
      <c r="C58" s="1799"/>
      <c r="D58" s="1799"/>
      <c r="E58" s="1800" t="str">
        <f t="shared" si="14"/>
        <v/>
      </c>
      <c r="F58" s="1801"/>
      <c r="G58" s="1801"/>
      <c r="H58" s="1802"/>
      <c r="I58" s="1815"/>
      <c r="J58" s="1815"/>
      <c r="K58" s="1815"/>
      <c r="L58" s="1815"/>
      <c r="M58" s="1815"/>
      <c r="N58" s="1815"/>
      <c r="O58" s="1815"/>
      <c r="P58" s="1815"/>
      <c r="Q58" s="1804" t="str">
        <f>IF($I$52="","",IF(I58="","",(I58/$I$52)*100))</f>
        <v/>
      </c>
      <c r="R58" s="1805"/>
      <c r="S58" s="1805"/>
      <c r="T58" s="1806"/>
      <c r="U58" s="1804" t="str">
        <f t="shared" si="18"/>
        <v/>
      </c>
      <c r="V58" s="1805"/>
      <c r="W58" s="1805"/>
      <c r="X58" s="1806"/>
      <c r="Y58" s="1807">
        <f t="shared" si="16"/>
        <v>0</v>
      </c>
      <c r="Z58" s="1808"/>
      <c r="AA58" s="1809"/>
      <c r="AB58" s="1810" t="e">
        <f t="shared" si="17"/>
        <v>#N/A</v>
      </c>
      <c r="AC58" s="1810"/>
      <c r="AD58" s="1810"/>
      <c r="AE58" s="1810"/>
      <c r="AF58" s="1333"/>
      <c r="AG58" s="369"/>
      <c r="AH58" s="973"/>
      <c r="AI58" s="973"/>
      <c r="AJ58" s="973"/>
      <c r="AK58" s="973"/>
      <c r="AL58" s="973"/>
      <c r="AM58" s="973"/>
      <c r="AN58" s="973"/>
      <c r="AO58" s="973"/>
      <c r="AP58" s="973"/>
      <c r="AQ58" s="114"/>
      <c r="AR58" s="114"/>
      <c r="AS58" s="114"/>
      <c r="AT58" s="114"/>
      <c r="AU58" s="114"/>
      <c r="AV58" s="973"/>
      <c r="AW58" s="973"/>
      <c r="AX58" s="973"/>
      <c r="AY58" s="973"/>
      <c r="AZ58" s="973"/>
      <c r="BA58" s="973"/>
      <c r="BB58" s="973"/>
      <c r="BC58" s="973"/>
      <c r="BD58" s="973"/>
      <c r="BE58" s="371" t="s">
        <v>651</v>
      </c>
      <c r="BF58" s="973"/>
      <c r="BG58" s="973"/>
      <c r="BH58" s="973"/>
      <c r="BI58" s="971" t="s">
        <v>653</v>
      </c>
      <c r="BJ58" s="1011"/>
      <c r="BK58" s="1011"/>
      <c r="BL58" s="967" t="s">
        <v>776</v>
      </c>
      <c r="BM58" s="1011"/>
      <c r="BN58" s="1011"/>
      <c r="BO58" s="1011"/>
      <c r="BP58" s="1011"/>
      <c r="BQ58" s="1011"/>
      <c r="BR58" s="1011"/>
      <c r="BS58" s="1011"/>
      <c r="BT58" s="1011"/>
      <c r="BU58" s="1011"/>
      <c r="BV58" s="1011"/>
      <c r="BW58" s="1011"/>
      <c r="BX58" s="1011"/>
      <c r="BY58" s="1011"/>
      <c r="BZ58" s="1011"/>
      <c r="CA58" s="1011"/>
      <c r="CB58" s="1011"/>
      <c r="CC58" s="1011"/>
      <c r="CD58" s="1011"/>
      <c r="CE58" s="1011"/>
      <c r="CF58" s="1011"/>
      <c r="CG58" s="1011"/>
      <c r="CH58" s="1011"/>
      <c r="CI58" s="1975"/>
      <c r="CJ58" s="1975"/>
      <c r="CK58" s="1975"/>
      <c r="CL58" s="1975"/>
      <c r="CM58" s="1975"/>
      <c r="CN58" s="1975"/>
      <c r="CO58" s="1975"/>
      <c r="CP58" s="1975"/>
      <c r="CQ58" s="1975"/>
      <c r="CR58" s="1975"/>
      <c r="CS58" s="1975"/>
      <c r="CT58" s="1975"/>
      <c r="CU58" s="1975"/>
      <c r="CV58" s="1975"/>
      <c r="CW58" s="1975"/>
      <c r="CX58" s="1975"/>
      <c r="CY58" s="1975"/>
      <c r="CZ58" s="1975"/>
      <c r="DA58" s="1975"/>
      <c r="DB58" s="1975"/>
      <c r="DC58" s="1975"/>
      <c r="DD58" s="1975"/>
      <c r="DE58" s="1975"/>
      <c r="DF58" s="1975"/>
      <c r="DG58" s="1975"/>
      <c r="DH58" s="1975"/>
    </row>
    <row r="59" spans="1:112" s="84" customFormat="1" ht="16.5" customHeight="1">
      <c r="A59" s="1799" t="str">
        <f t="shared" si="13"/>
        <v/>
      </c>
      <c r="B59" s="1799"/>
      <c r="C59" s="1799"/>
      <c r="D59" s="1799"/>
      <c r="E59" s="1800" t="str">
        <f t="shared" si="14"/>
        <v/>
      </c>
      <c r="F59" s="1801"/>
      <c r="G59" s="1801"/>
      <c r="H59" s="1802"/>
      <c r="I59" s="1815"/>
      <c r="J59" s="1815"/>
      <c r="K59" s="1815"/>
      <c r="L59" s="1815"/>
      <c r="M59" s="1815"/>
      <c r="N59" s="1815"/>
      <c r="O59" s="1815"/>
      <c r="P59" s="1815"/>
      <c r="Q59" s="1804" t="str">
        <f>IF($I$52="","",IF(I59="","",(I59/$I$52)*100))</f>
        <v/>
      </c>
      <c r="R59" s="1805"/>
      <c r="S59" s="1805"/>
      <c r="T59" s="1806"/>
      <c r="U59" s="1804" t="str">
        <f t="shared" si="18"/>
        <v/>
      </c>
      <c r="V59" s="1805"/>
      <c r="W59" s="1805"/>
      <c r="X59" s="1806"/>
      <c r="Y59" s="1807">
        <f t="shared" si="16"/>
        <v>0</v>
      </c>
      <c r="Z59" s="1808"/>
      <c r="AA59" s="1809"/>
      <c r="AB59" s="1810" t="e">
        <f t="shared" si="17"/>
        <v>#N/A</v>
      </c>
      <c r="AC59" s="1810"/>
      <c r="AD59" s="1810"/>
      <c r="AE59" s="1810"/>
      <c r="AF59" s="1333"/>
      <c r="AG59" s="370"/>
      <c r="AH59" s="370"/>
      <c r="AI59" s="370"/>
      <c r="AJ59" s="370"/>
      <c r="AK59" s="370"/>
      <c r="AL59" s="370"/>
      <c r="AM59" s="370"/>
      <c r="AN59" s="370"/>
      <c r="AO59" s="370"/>
      <c r="AP59" s="370"/>
      <c r="AQ59" s="86"/>
      <c r="AR59" s="86"/>
      <c r="AS59" s="86"/>
      <c r="AT59" s="86"/>
      <c r="AU59" s="86"/>
      <c r="AV59" s="370"/>
      <c r="AW59" s="370"/>
      <c r="AX59" s="370"/>
      <c r="AY59" s="370"/>
      <c r="AZ59" s="370"/>
      <c r="BA59" s="370"/>
      <c r="BB59" s="370"/>
      <c r="BC59" s="370"/>
      <c r="BD59" s="370"/>
      <c r="BE59" s="972" t="s">
        <v>648</v>
      </c>
      <c r="BF59" s="370"/>
      <c r="BG59" s="370"/>
      <c r="BH59" s="370"/>
      <c r="BI59" s="966" t="s">
        <v>777</v>
      </c>
      <c r="BJ59" s="371"/>
      <c r="BK59" s="371"/>
      <c r="BL59" s="967" t="s">
        <v>778</v>
      </c>
      <c r="BM59" s="371"/>
      <c r="BN59" s="371"/>
      <c r="BO59" s="371"/>
      <c r="BP59" s="371"/>
      <c r="BQ59" s="371"/>
      <c r="BR59" s="371"/>
      <c r="BS59" s="371"/>
      <c r="BT59" s="371"/>
      <c r="BU59" s="371"/>
      <c r="BV59" s="371"/>
      <c r="BW59" s="371"/>
      <c r="BX59" s="371"/>
      <c r="BY59" s="371"/>
      <c r="BZ59" s="371"/>
      <c r="CA59" s="371"/>
      <c r="CB59" s="371"/>
      <c r="CC59" s="371"/>
      <c r="CD59" s="371"/>
      <c r="CE59" s="371"/>
      <c r="CF59" s="371"/>
      <c r="CG59" s="371"/>
      <c r="CH59" s="371"/>
      <c r="CI59" s="966"/>
      <c r="CJ59" s="966"/>
      <c r="CK59" s="966"/>
      <c r="CL59" s="966"/>
      <c r="CM59" s="966"/>
      <c r="CN59" s="966"/>
      <c r="CO59" s="966"/>
      <c r="CP59" s="966"/>
      <c r="CQ59" s="966"/>
      <c r="CR59" s="966"/>
      <c r="CS59" s="966"/>
      <c r="CT59" s="966"/>
      <c r="CU59" s="966"/>
      <c r="CV59" s="966"/>
      <c r="CW59" s="966"/>
      <c r="CX59" s="966"/>
      <c r="CY59" s="966"/>
      <c r="CZ59" s="966"/>
      <c r="DA59" s="966"/>
      <c r="DB59" s="966"/>
      <c r="DC59" s="966"/>
      <c r="DD59" s="966"/>
      <c r="DE59" s="966"/>
      <c r="DF59" s="966"/>
      <c r="DG59" s="966"/>
      <c r="DH59" s="966"/>
    </row>
    <row r="60" spans="1:112" s="84" customFormat="1" ht="16.5" customHeight="1">
      <c r="A60" s="1799" t="str">
        <f t="shared" si="13"/>
        <v/>
      </c>
      <c r="B60" s="1799"/>
      <c r="C60" s="1799"/>
      <c r="D60" s="1799"/>
      <c r="E60" s="1800" t="str">
        <f t="shared" si="14"/>
        <v/>
      </c>
      <c r="F60" s="1801"/>
      <c r="G60" s="1801"/>
      <c r="H60" s="1802"/>
      <c r="I60" s="1815"/>
      <c r="J60" s="1815"/>
      <c r="K60" s="1815"/>
      <c r="L60" s="1815"/>
      <c r="M60" s="1815"/>
      <c r="N60" s="1815"/>
      <c r="O60" s="1815"/>
      <c r="P60" s="1815"/>
      <c r="Q60" s="1804" t="str">
        <f t="shared" si="15"/>
        <v/>
      </c>
      <c r="R60" s="1805"/>
      <c r="S60" s="1805"/>
      <c r="T60" s="1806"/>
      <c r="U60" s="1804" t="str">
        <f t="shared" si="18"/>
        <v/>
      </c>
      <c r="V60" s="1805"/>
      <c r="W60" s="1805"/>
      <c r="X60" s="1806"/>
      <c r="Y60" s="1807">
        <f t="shared" si="16"/>
        <v>0</v>
      </c>
      <c r="Z60" s="1808"/>
      <c r="AA60" s="1809"/>
      <c r="AB60" s="1810" t="e">
        <f t="shared" si="17"/>
        <v>#N/A</v>
      </c>
      <c r="AC60" s="1810"/>
      <c r="AD60" s="1810"/>
      <c r="AE60" s="1810"/>
      <c r="AF60" s="1333"/>
      <c r="AG60" s="370"/>
      <c r="AH60" s="370"/>
      <c r="AI60" s="370"/>
      <c r="AJ60" s="370"/>
      <c r="AK60" s="370"/>
      <c r="AL60" s="370"/>
      <c r="AM60" s="370"/>
      <c r="AN60" s="370"/>
      <c r="AO60" s="370"/>
      <c r="AP60" s="370"/>
      <c r="AQ60" s="973"/>
      <c r="AR60" s="973"/>
      <c r="AS60" s="973"/>
      <c r="AT60" s="973"/>
      <c r="AU60" s="973"/>
      <c r="AV60" s="370"/>
      <c r="AW60" s="370"/>
      <c r="AX60" s="370"/>
      <c r="AY60" s="370"/>
      <c r="AZ60" s="370"/>
      <c r="BA60" s="370"/>
      <c r="BB60" s="370"/>
      <c r="BC60" s="370"/>
      <c r="BD60" s="370"/>
      <c r="BE60" s="370"/>
      <c r="BF60" s="370"/>
      <c r="BG60" s="370"/>
      <c r="BH60" s="370"/>
      <c r="BI60" s="966" t="s">
        <v>779</v>
      </c>
      <c r="BJ60" s="371"/>
      <c r="BK60" s="371"/>
      <c r="BL60" s="967" t="s">
        <v>780</v>
      </c>
      <c r="BM60" s="371"/>
      <c r="BN60" s="371"/>
      <c r="BO60" s="371"/>
      <c r="BP60" s="371"/>
      <c r="BQ60" s="371"/>
      <c r="BR60" s="371"/>
      <c r="BS60" s="371"/>
      <c r="BT60" s="371"/>
      <c r="BU60" s="371"/>
      <c r="BV60" s="371"/>
      <c r="BW60" s="371"/>
      <c r="BX60" s="371"/>
      <c r="BY60" s="371"/>
      <c r="BZ60" s="371"/>
      <c r="CA60" s="371"/>
      <c r="CB60" s="371"/>
      <c r="CC60" s="371"/>
      <c r="CD60" s="371"/>
      <c r="CE60" s="371"/>
      <c r="CF60" s="371"/>
      <c r="CG60" s="371"/>
      <c r="CH60" s="371"/>
      <c r="CI60" s="966"/>
      <c r="CJ60" s="966"/>
      <c r="CK60" s="966"/>
      <c r="CL60" s="966"/>
      <c r="CM60" s="966"/>
      <c r="CN60" s="966"/>
      <c r="CO60" s="966"/>
      <c r="CP60" s="966"/>
      <c r="CQ60" s="966"/>
      <c r="CR60" s="966"/>
      <c r="CS60" s="966"/>
      <c r="CT60" s="966"/>
      <c r="CU60" s="966"/>
      <c r="CV60" s="966"/>
      <c r="CW60" s="966"/>
      <c r="CX60" s="966"/>
      <c r="CY60" s="966"/>
      <c r="CZ60" s="966"/>
      <c r="DA60" s="966"/>
      <c r="DB60" s="966"/>
      <c r="DC60" s="981"/>
      <c r="DD60" s="981"/>
      <c r="DE60" s="981"/>
      <c r="DF60" s="981"/>
      <c r="DG60" s="981"/>
      <c r="DH60" s="981"/>
    </row>
    <row r="61" spans="1:112" s="84" customFormat="1" ht="16.5" customHeight="1">
      <c r="A61" s="1799" t="str">
        <f t="shared" si="13"/>
        <v/>
      </c>
      <c r="B61" s="1799"/>
      <c r="C61" s="1799"/>
      <c r="D61" s="1799"/>
      <c r="E61" s="1800" t="str">
        <f t="shared" si="14"/>
        <v/>
      </c>
      <c r="F61" s="1801"/>
      <c r="G61" s="1801"/>
      <c r="H61" s="1802"/>
      <c r="I61" s="1815"/>
      <c r="J61" s="1815"/>
      <c r="K61" s="1815"/>
      <c r="L61" s="1815"/>
      <c r="M61" s="1815"/>
      <c r="N61" s="1815"/>
      <c r="O61" s="1815"/>
      <c r="P61" s="1815"/>
      <c r="Q61" s="1804" t="str">
        <f t="shared" si="15"/>
        <v/>
      </c>
      <c r="R61" s="1805"/>
      <c r="S61" s="1805"/>
      <c r="T61" s="1806"/>
      <c r="U61" s="1804" t="str">
        <f t="shared" si="18"/>
        <v/>
      </c>
      <c r="V61" s="1805"/>
      <c r="W61" s="1805"/>
      <c r="X61" s="1806"/>
      <c r="Y61" s="1807">
        <f t="shared" si="16"/>
        <v>0</v>
      </c>
      <c r="Z61" s="1808"/>
      <c r="AA61" s="1809"/>
      <c r="AB61" s="1810" t="e">
        <f t="shared" si="17"/>
        <v>#N/A</v>
      </c>
      <c r="AC61" s="1810"/>
      <c r="AD61" s="1810"/>
      <c r="AE61" s="1810"/>
      <c r="AF61" s="1333"/>
      <c r="AG61" s="370"/>
      <c r="AH61" s="370"/>
      <c r="AI61" s="370"/>
      <c r="AJ61" s="370"/>
      <c r="AK61" s="370"/>
      <c r="AL61" s="370"/>
      <c r="AM61" s="370"/>
      <c r="AN61" s="370"/>
      <c r="AO61" s="370"/>
      <c r="AP61" s="370"/>
      <c r="AQ61" s="370"/>
      <c r="AR61" s="370"/>
      <c r="AS61" s="370"/>
      <c r="AT61" s="370"/>
      <c r="AU61" s="370"/>
      <c r="AV61" s="370"/>
      <c r="AW61" s="370"/>
      <c r="AX61" s="370"/>
      <c r="AY61" s="370"/>
      <c r="AZ61" s="370"/>
      <c r="BA61" s="370"/>
      <c r="BB61" s="370"/>
      <c r="BC61" s="370"/>
      <c r="BD61" s="370"/>
      <c r="BE61" s="370"/>
      <c r="BF61" s="370"/>
      <c r="BG61" s="370"/>
      <c r="BH61" s="370"/>
      <c r="BI61" s="972" t="s">
        <v>648</v>
      </c>
      <c r="BJ61" s="371"/>
      <c r="BK61" s="371"/>
      <c r="BL61" s="967" t="s">
        <v>781</v>
      </c>
      <c r="BM61" s="371"/>
      <c r="BN61" s="371"/>
      <c r="BO61" s="371"/>
      <c r="BP61" s="371"/>
      <c r="BQ61" s="371"/>
      <c r="BR61" s="371"/>
      <c r="BS61" s="371"/>
      <c r="BT61" s="371"/>
      <c r="BU61" s="371"/>
      <c r="BV61" s="371"/>
      <c r="BW61" s="371"/>
      <c r="BX61" s="371"/>
      <c r="BY61" s="371"/>
      <c r="BZ61" s="371"/>
      <c r="CA61" s="371"/>
      <c r="CB61" s="371"/>
      <c r="CC61" s="371"/>
      <c r="CD61" s="371"/>
      <c r="CE61" s="371"/>
      <c r="CF61" s="371"/>
      <c r="CG61" s="371"/>
      <c r="CH61" s="371"/>
      <c r="CI61" s="966"/>
      <c r="CJ61" s="966"/>
      <c r="CK61" s="966"/>
      <c r="CL61" s="966"/>
      <c r="CM61" s="966"/>
      <c r="CN61" s="966"/>
      <c r="CO61" s="966"/>
      <c r="CP61" s="966"/>
      <c r="CQ61" s="966"/>
      <c r="CR61" s="966"/>
      <c r="CS61" s="966"/>
      <c r="CT61" s="966"/>
      <c r="CU61" s="966"/>
      <c r="CV61" s="966"/>
      <c r="CW61" s="966"/>
      <c r="CX61" s="966"/>
      <c r="CY61" s="966"/>
      <c r="CZ61" s="966"/>
      <c r="DA61" s="966"/>
      <c r="DB61" s="966"/>
      <c r="DC61" s="981"/>
      <c r="DD61" s="981"/>
      <c r="DE61" s="981"/>
      <c r="DF61" s="981"/>
      <c r="DG61" s="981"/>
      <c r="DH61" s="981"/>
    </row>
    <row r="62" spans="1:112" s="84" customFormat="1" ht="16.5" customHeight="1">
      <c r="A62" s="1799" t="str">
        <f t="shared" si="13"/>
        <v/>
      </c>
      <c r="B62" s="1799"/>
      <c r="C62" s="1799"/>
      <c r="D62" s="1799"/>
      <c r="E62" s="1800" t="str">
        <f t="shared" si="14"/>
        <v/>
      </c>
      <c r="F62" s="1801"/>
      <c r="G62" s="1801"/>
      <c r="H62" s="1802"/>
      <c r="I62" s="1815"/>
      <c r="J62" s="1815"/>
      <c r="K62" s="1815"/>
      <c r="L62" s="1815"/>
      <c r="M62" s="1815"/>
      <c r="N62" s="1815"/>
      <c r="O62" s="1815"/>
      <c r="P62" s="1815"/>
      <c r="Q62" s="1804" t="str">
        <f t="shared" si="15"/>
        <v/>
      </c>
      <c r="R62" s="1805"/>
      <c r="S62" s="1805"/>
      <c r="T62" s="1806"/>
      <c r="U62" s="1804" t="str">
        <f t="shared" si="18"/>
        <v/>
      </c>
      <c r="V62" s="1805"/>
      <c r="W62" s="1805"/>
      <c r="X62" s="1806"/>
      <c r="Y62" s="1807">
        <f t="shared" si="16"/>
        <v>0</v>
      </c>
      <c r="Z62" s="1808"/>
      <c r="AA62" s="1809"/>
      <c r="AB62" s="1810" t="e">
        <f t="shared" si="17"/>
        <v>#N/A</v>
      </c>
      <c r="AC62" s="1810"/>
      <c r="AD62" s="1810"/>
      <c r="AE62" s="1810"/>
      <c r="AF62" s="1333"/>
      <c r="AG62" s="370"/>
      <c r="AH62" s="370"/>
      <c r="AI62" s="370"/>
      <c r="AJ62" s="370"/>
      <c r="AK62" s="370"/>
      <c r="AL62" s="370"/>
      <c r="AM62" s="370"/>
      <c r="AN62" s="370"/>
      <c r="AO62" s="370"/>
      <c r="AP62" s="370"/>
      <c r="AQ62" s="370"/>
      <c r="AR62" s="370"/>
      <c r="AS62" s="370"/>
      <c r="AT62" s="370"/>
      <c r="AU62" s="370"/>
      <c r="AV62" s="370"/>
      <c r="AW62" s="370"/>
      <c r="AX62" s="370"/>
      <c r="AY62" s="370"/>
      <c r="AZ62" s="370"/>
      <c r="BA62" s="370"/>
      <c r="BB62" s="370"/>
      <c r="BC62" s="370"/>
      <c r="BD62" s="370"/>
      <c r="BE62" s="370"/>
      <c r="BF62" s="370"/>
      <c r="BG62" s="370"/>
      <c r="BH62" s="370"/>
      <c r="BJ62" s="371"/>
      <c r="BK62" s="518"/>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c r="CH62" s="371"/>
      <c r="CI62" s="966"/>
      <c r="CJ62" s="966"/>
      <c r="CK62" s="982"/>
      <c r="CL62" s="966"/>
      <c r="CM62" s="966"/>
      <c r="CN62" s="966"/>
      <c r="CO62" s="966"/>
      <c r="CP62" s="966"/>
      <c r="CQ62" s="966"/>
      <c r="CR62" s="966"/>
      <c r="CS62" s="966"/>
      <c r="CT62" s="966"/>
      <c r="CU62" s="966"/>
      <c r="CV62" s="966"/>
      <c r="CW62" s="966"/>
      <c r="CX62" s="966"/>
      <c r="CY62" s="966"/>
      <c r="CZ62" s="966"/>
      <c r="DA62" s="966"/>
      <c r="DB62" s="966"/>
      <c r="DC62" s="981"/>
      <c r="DD62" s="981"/>
      <c r="DE62" s="981"/>
      <c r="DF62" s="981"/>
      <c r="DG62" s="981"/>
      <c r="DH62" s="981"/>
    </row>
    <row r="63" spans="1:112" s="84" customFormat="1" ht="16.5" customHeight="1">
      <c r="A63" s="1814" t="str">
        <f>IF(I52="","",AH43)</f>
        <v/>
      </c>
      <c r="B63" s="1799"/>
      <c r="C63" s="1799"/>
      <c r="D63" s="1799"/>
      <c r="E63" s="1800" t="str">
        <f>+IF(A63="","",AI43)</f>
        <v/>
      </c>
      <c r="F63" s="1801"/>
      <c r="G63" s="1801"/>
      <c r="H63" s="1802"/>
      <c r="I63" s="1815"/>
      <c r="J63" s="1815"/>
      <c r="K63" s="1815"/>
      <c r="L63" s="1815"/>
      <c r="M63" s="1815"/>
      <c r="N63" s="1815"/>
      <c r="O63" s="1815"/>
      <c r="P63" s="1815"/>
      <c r="Q63" s="1804" t="str">
        <f t="shared" si="15"/>
        <v/>
      </c>
      <c r="R63" s="1805"/>
      <c r="S63" s="1805"/>
      <c r="T63" s="1806"/>
      <c r="U63" s="1804" t="str">
        <f t="shared" si="18"/>
        <v/>
      </c>
      <c r="V63" s="1805"/>
      <c r="W63" s="1805"/>
      <c r="X63" s="1806"/>
      <c r="Y63" s="1816">
        <f>IF(AG63=E63,I63,"")</f>
        <v>0</v>
      </c>
      <c r="Z63" s="1808"/>
      <c r="AA63" s="1809"/>
      <c r="AB63" s="1810" t="e">
        <f t="shared" si="17"/>
        <v>#N/A</v>
      </c>
      <c r="AC63" s="1810"/>
      <c r="AD63" s="1810"/>
      <c r="AE63" s="1810"/>
      <c r="AF63" s="1333"/>
      <c r="AG63" s="370" t="str">
        <f>IFERROR(VLOOKUP(A63,$A$14:$H$23,5,0),"")</f>
        <v/>
      </c>
      <c r="AH63" s="370"/>
      <c r="AI63" s="370" t="s">
        <v>782</v>
      </c>
      <c r="AJ63" s="370"/>
      <c r="AK63" s="370"/>
      <c r="AL63" s="370"/>
      <c r="AM63" s="370"/>
      <c r="AN63" s="370"/>
      <c r="AO63" s="370"/>
      <c r="AP63" s="370"/>
      <c r="AQ63" s="370"/>
      <c r="AR63" s="370"/>
      <c r="AS63" s="370"/>
      <c r="AT63" s="370"/>
      <c r="AU63" s="370"/>
      <c r="AV63" s="370"/>
      <c r="AW63" s="370"/>
      <c r="AX63" s="370"/>
      <c r="AY63" s="370"/>
      <c r="AZ63" s="370"/>
      <c r="BA63" s="370"/>
      <c r="BB63" s="370"/>
      <c r="BC63" s="370"/>
      <c r="BD63" s="370"/>
      <c r="BE63" s="370"/>
      <c r="BF63" s="370"/>
      <c r="BG63" s="370"/>
      <c r="BH63" s="370"/>
      <c r="BJ63" s="371"/>
      <c r="BK63" s="518"/>
      <c r="BL63" s="518"/>
      <c r="BM63" s="518"/>
      <c r="BN63" s="518"/>
      <c r="BO63" s="518"/>
      <c r="BP63" s="518"/>
      <c r="BQ63" s="518"/>
      <c r="BR63" s="518"/>
      <c r="BS63" s="371"/>
      <c r="BT63" s="371"/>
      <c r="BU63" s="371"/>
      <c r="BV63" s="371"/>
      <c r="BW63" s="371"/>
      <c r="BX63" s="371"/>
      <c r="BY63" s="371"/>
      <c r="BZ63" s="371"/>
      <c r="CA63" s="371"/>
      <c r="CB63" s="371"/>
      <c r="CC63" s="371"/>
      <c r="CD63" s="371"/>
      <c r="CE63" s="371"/>
      <c r="CF63" s="371"/>
      <c r="CG63" s="371"/>
      <c r="CH63" s="371"/>
      <c r="CI63" s="982"/>
      <c r="CJ63" s="966"/>
      <c r="CK63" s="982"/>
      <c r="CL63" s="966"/>
      <c r="CM63" s="966"/>
      <c r="CN63" s="966"/>
      <c r="CO63" s="966"/>
      <c r="CP63" s="966"/>
      <c r="CQ63" s="966"/>
      <c r="CR63" s="982"/>
      <c r="CS63" s="966"/>
      <c r="CT63" s="966"/>
      <c r="CU63" s="966"/>
      <c r="CV63" s="966"/>
      <c r="CW63" s="966"/>
      <c r="CX63" s="966"/>
      <c r="CY63" s="966"/>
      <c r="CZ63" s="966"/>
      <c r="DA63" s="966"/>
      <c r="DB63" s="966"/>
      <c r="DC63" s="981"/>
      <c r="DD63" s="981"/>
      <c r="DE63" s="981"/>
      <c r="DF63" s="981"/>
      <c r="DG63" s="981"/>
      <c r="DH63" s="981"/>
    </row>
    <row r="64" spans="1:112" s="91" customFormat="1" ht="16.5" customHeight="1">
      <c r="A64" s="1799" t="str">
        <f t="shared" si="13"/>
        <v/>
      </c>
      <c r="B64" s="1799"/>
      <c r="C64" s="1799"/>
      <c r="D64" s="1799"/>
      <c r="E64" s="1800" t="str">
        <f t="shared" si="14"/>
        <v/>
      </c>
      <c r="F64" s="1801"/>
      <c r="G64" s="1801"/>
      <c r="H64" s="1802"/>
      <c r="I64" s="1815"/>
      <c r="J64" s="1815"/>
      <c r="K64" s="1815"/>
      <c r="L64" s="1815"/>
      <c r="M64" s="1815"/>
      <c r="N64" s="1815"/>
      <c r="O64" s="1815"/>
      <c r="P64" s="1815"/>
      <c r="Q64" s="1804" t="str">
        <f t="shared" si="15"/>
        <v/>
      </c>
      <c r="R64" s="1805"/>
      <c r="S64" s="1805"/>
      <c r="T64" s="1806"/>
      <c r="U64" s="1804" t="str">
        <f t="shared" si="18"/>
        <v/>
      </c>
      <c r="V64" s="1805"/>
      <c r="W64" s="1805"/>
      <c r="X64" s="1806"/>
      <c r="Y64" s="1816">
        <f>IF(Y63="",I63+I64,I64)</f>
        <v>0</v>
      </c>
      <c r="Z64" s="1808"/>
      <c r="AA64" s="1809"/>
      <c r="AB64" s="1810" t="e">
        <f t="shared" si="17"/>
        <v>#N/A</v>
      </c>
      <c r="AC64" s="1810"/>
      <c r="AD64" s="1810"/>
      <c r="AE64" s="1810"/>
      <c r="AF64" s="1333"/>
      <c r="AG64" s="370" t="str">
        <f>IFERROR(VLOOKUP(A65,$A$14:$H$23,5,0),"")</f>
        <v/>
      </c>
      <c r="AH64" s="370"/>
      <c r="AI64" s="1334" t="str">
        <f>+Q14</f>
        <v/>
      </c>
      <c r="AJ64" s="370"/>
      <c r="AK64" s="370"/>
      <c r="AL64" s="370"/>
      <c r="AM64" s="370"/>
      <c r="AN64" s="370"/>
      <c r="AO64" s="370"/>
      <c r="AP64" s="370"/>
      <c r="AQ64" s="370"/>
      <c r="AR64" s="370"/>
      <c r="AS64" s="370"/>
      <c r="AT64" s="370"/>
      <c r="AU64" s="370"/>
      <c r="AV64" s="370"/>
      <c r="AW64" s="370"/>
      <c r="AX64" s="370"/>
      <c r="AY64" s="370"/>
      <c r="AZ64" s="370"/>
      <c r="BA64" s="370"/>
      <c r="BB64" s="370"/>
      <c r="BC64" s="370"/>
      <c r="BD64" s="370"/>
      <c r="BE64" s="370"/>
      <c r="BF64" s="370"/>
      <c r="BG64" s="370"/>
      <c r="BH64" s="370"/>
      <c r="BI64" s="518"/>
      <c r="BJ64" s="518"/>
      <c r="BK64" s="518"/>
      <c r="BL64" s="518"/>
      <c r="BM64" s="518"/>
      <c r="BN64" s="518"/>
      <c r="BO64" s="518"/>
      <c r="BP64" s="518"/>
      <c r="BQ64" s="518"/>
      <c r="BR64" s="518"/>
      <c r="BS64" s="518"/>
      <c r="BT64" s="518"/>
      <c r="BU64" s="518"/>
      <c r="BV64" s="518"/>
      <c r="BW64" s="518"/>
      <c r="BX64" s="518"/>
      <c r="BY64" s="371"/>
      <c r="BZ64" s="371"/>
      <c r="CA64" s="518"/>
      <c r="CB64" s="371"/>
      <c r="CC64" s="371"/>
      <c r="CD64" s="371"/>
      <c r="CE64" s="371"/>
      <c r="CF64" s="371"/>
      <c r="CG64" s="371"/>
      <c r="CH64" s="371"/>
      <c r="CI64" s="982"/>
      <c r="CJ64" s="982"/>
      <c r="CK64" s="982"/>
      <c r="CL64" s="982"/>
      <c r="CM64" s="982"/>
      <c r="CN64" s="982"/>
      <c r="CO64" s="982"/>
      <c r="CP64" s="982"/>
      <c r="CQ64" s="982"/>
      <c r="CR64" s="982"/>
      <c r="CS64" s="982"/>
      <c r="CT64" s="982"/>
      <c r="CU64" s="982"/>
      <c r="CV64" s="982"/>
      <c r="CW64" s="982"/>
      <c r="CX64" s="982"/>
      <c r="CY64" s="982"/>
      <c r="CZ64" s="966"/>
      <c r="DA64" s="966"/>
      <c r="DB64" s="982"/>
      <c r="DC64" s="981"/>
      <c r="DD64" s="981"/>
      <c r="DE64" s="981"/>
      <c r="DF64" s="981"/>
      <c r="DG64" s="981"/>
      <c r="DH64" s="981"/>
    </row>
    <row r="65" spans="1:112" s="84" customFormat="1" ht="16.5" customHeight="1">
      <c r="A65" s="1814" t="str">
        <f>IF(I52="","",AH45)</f>
        <v/>
      </c>
      <c r="B65" s="1799"/>
      <c r="C65" s="1799"/>
      <c r="D65" s="1799"/>
      <c r="E65" s="1800" t="str">
        <f t="shared" si="14"/>
        <v/>
      </c>
      <c r="F65" s="1801"/>
      <c r="G65" s="1801"/>
      <c r="H65" s="1802"/>
      <c r="I65" s="1803"/>
      <c r="J65" s="1803"/>
      <c r="K65" s="1803"/>
      <c r="L65" s="1803"/>
      <c r="M65" s="1803"/>
      <c r="N65" s="1803"/>
      <c r="O65" s="1803"/>
      <c r="P65" s="1803"/>
      <c r="Q65" s="1804" t="str">
        <f t="shared" si="15"/>
        <v/>
      </c>
      <c r="R65" s="1805"/>
      <c r="S65" s="1805"/>
      <c r="T65" s="1806"/>
      <c r="U65" s="1804" t="str">
        <f t="shared" si="18"/>
        <v/>
      </c>
      <c r="V65" s="1805"/>
      <c r="W65" s="1805"/>
      <c r="X65" s="1806"/>
      <c r="Y65" s="1807">
        <f>IF(AG64=E65,I65,"")</f>
        <v>0</v>
      </c>
      <c r="Z65" s="1808"/>
      <c r="AA65" s="1809"/>
      <c r="AB65" s="1810" t="e">
        <f t="shared" si="17"/>
        <v>#N/A</v>
      </c>
      <c r="AC65" s="1810"/>
      <c r="AD65" s="1810"/>
      <c r="AE65" s="1810"/>
      <c r="AF65" s="1333"/>
      <c r="AG65" s="370" t="s">
        <v>783</v>
      </c>
      <c r="AH65" s="370"/>
      <c r="AI65" s="1334" t="e">
        <f>+AI64+Q15</f>
        <v>#VALUE!</v>
      </c>
      <c r="AJ65" s="370"/>
      <c r="AK65" s="370"/>
      <c r="AL65" s="370"/>
      <c r="AM65" s="370"/>
      <c r="AN65" s="370"/>
      <c r="AO65" s="370"/>
      <c r="AP65" s="370"/>
      <c r="AQ65" s="370"/>
      <c r="AR65" s="370"/>
      <c r="AS65" s="370"/>
      <c r="AT65" s="370"/>
      <c r="AU65" s="370"/>
      <c r="AV65" s="370"/>
      <c r="AW65" s="370"/>
      <c r="AX65" s="370"/>
      <c r="AY65" s="370"/>
      <c r="AZ65" s="370"/>
      <c r="BA65" s="370"/>
      <c r="BB65" s="370"/>
      <c r="BC65" s="370"/>
      <c r="BD65" s="370"/>
      <c r="BE65" s="370"/>
      <c r="BF65" s="370"/>
      <c r="BG65" s="370"/>
      <c r="BH65" s="370"/>
      <c r="BI65" s="518"/>
      <c r="BJ65" s="518"/>
      <c r="BK65" s="520"/>
      <c r="BL65" s="518"/>
      <c r="BM65" s="518"/>
      <c r="BN65" s="518"/>
      <c r="BO65" s="518"/>
      <c r="BP65" s="518"/>
      <c r="BQ65" s="518"/>
      <c r="BR65" s="518"/>
      <c r="BS65" s="518"/>
      <c r="BT65" s="518"/>
      <c r="BU65" s="518"/>
      <c r="BV65" s="518"/>
      <c r="BW65" s="518"/>
      <c r="BX65" s="518"/>
      <c r="BY65" s="371"/>
      <c r="BZ65" s="518"/>
      <c r="CA65" s="518"/>
      <c r="CB65" s="371"/>
      <c r="CC65" s="371"/>
      <c r="CD65" s="371"/>
      <c r="CE65" s="371"/>
      <c r="CF65" s="371"/>
      <c r="CG65" s="371"/>
      <c r="CH65" s="371"/>
      <c r="CI65" s="982"/>
      <c r="CJ65" s="982"/>
      <c r="CK65" s="983"/>
      <c r="CL65" s="982"/>
      <c r="CM65" s="982"/>
      <c r="CN65" s="982"/>
      <c r="CO65" s="982"/>
      <c r="CP65" s="982"/>
      <c r="CQ65" s="982"/>
      <c r="CR65" s="982"/>
      <c r="CS65" s="982"/>
      <c r="CT65" s="982"/>
      <c r="CU65" s="982"/>
      <c r="CV65" s="982"/>
      <c r="CW65" s="982"/>
      <c r="CX65" s="982"/>
      <c r="CY65" s="982"/>
      <c r="CZ65" s="966"/>
      <c r="DA65" s="982"/>
      <c r="DB65" s="982"/>
      <c r="DC65" s="981"/>
      <c r="DD65" s="981"/>
      <c r="DE65" s="981"/>
      <c r="DF65" s="981"/>
      <c r="DG65" s="981"/>
      <c r="DH65" s="981"/>
    </row>
    <row r="66" spans="1:112" s="84" customFormat="1" ht="16.5" customHeight="1">
      <c r="A66" s="1799" t="str">
        <f t="shared" si="13"/>
        <v/>
      </c>
      <c r="B66" s="1799"/>
      <c r="C66" s="1799"/>
      <c r="D66" s="1799"/>
      <c r="E66" s="1800" t="str">
        <f t="shared" si="14"/>
        <v/>
      </c>
      <c r="F66" s="1801"/>
      <c r="G66" s="1801"/>
      <c r="H66" s="1802"/>
      <c r="I66" s="1803"/>
      <c r="J66" s="1803"/>
      <c r="K66" s="1803"/>
      <c r="L66" s="1803"/>
      <c r="M66" s="1803"/>
      <c r="N66" s="1803"/>
      <c r="O66" s="1803"/>
      <c r="P66" s="1803"/>
      <c r="Q66" s="1804" t="str">
        <f t="shared" si="15"/>
        <v/>
      </c>
      <c r="R66" s="1805"/>
      <c r="S66" s="1805"/>
      <c r="T66" s="1806"/>
      <c r="U66" s="1804" t="str">
        <f t="shared" si="18"/>
        <v/>
      </c>
      <c r="V66" s="1805"/>
      <c r="W66" s="1805"/>
      <c r="X66" s="1806"/>
      <c r="Y66" s="1807">
        <f>IF(Y65="",I65+I66,I66)</f>
        <v>0</v>
      </c>
      <c r="Z66" s="1808"/>
      <c r="AA66" s="1809"/>
      <c r="AB66" s="1810" t="e">
        <f t="shared" si="17"/>
        <v>#N/A</v>
      </c>
      <c r="AC66" s="1810"/>
      <c r="AD66" s="1810"/>
      <c r="AE66" s="1810"/>
      <c r="AF66" s="1333"/>
      <c r="AG66" s="370">
        <f>+SUM(I67:P76)</f>
        <v>0</v>
      </c>
      <c r="AH66" s="370"/>
      <c r="AI66" s="1334" t="e">
        <f t="shared" ref="AI66:AI70" si="19">+AI65+Q16</f>
        <v>#VALUE!</v>
      </c>
      <c r="AJ66" s="370"/>
      <c r="AK66" s="370"/>
      <c r="AL66" s="370"/>
      <c r="AM66" s="370"/>
      <c r="AN66" s="370"/>
      <c r="AO66" s="370"/>
      <c r="AP66" s="370"/>
      <c r="AQ66" s="370"/>
      <c r="AR66" s="370"/>
      <c r="AS66" s="370"/>
      <c r="AT66" s="370"/>
      <c r="AU66" s="370"/>
      <c r="AV66" s="370"/>
      <c r="AW66" s="370"/>
      <c r="AX66" s="370"/>
      <c r="AY66" s="370"/>
      <c r="AZ66" s="370"/>
      <c r="BA66" s="370"/>
      <c r="BB66" s="370"/>
      <c r="BC66" s="370"/>
      <c r="BD66" s="370"/>
      <c r="BE66" s="370"/>
      <c r="BF66" s="370"/>
      <c r="BG66" s="370"/>
      <c r="BH66" s="370"/>
      <c r="BI66" s="520"/>
      <c r="BJ66" s="520"/>
      <c r="BK66" s="520"/>
      <c r="BL66" s="520"/>
      <c r="BM66" s="520"/>
      <c r="BN66" s="520"/>
      <c r="BO66" s="520"/>
      <c r="BP66" s="520"/>
      <c r="BQ66" s="520"/>
      <c r="BR66" s="518"/>
      <c r="BS66" s="518"/>
      <c r="BT66" s="518"/>
      <c r="BU66" s="518"/>
      <c r="BV66" s="518"/>
      <c r="BW66" s="518"/>
      <c r="BX66" s="518"/>
      <c r="BY66" s="518"/>
      <c r="BZ66" s="518"/>
      <c r="CA66" s="518"/>
      <c r="CB66" s="517"/>
      <c r="CC66" s="517"/>
      <c r="CD66" s="517"/>
      <c r="CE66" s="517"/>
      <c r="CF66" s="517"/>
      <c r="CG66" s="517"/>
      <c r="CH66" s="516"/>
      <c r="CI66" s="983"/>
      <c r="CJ66" s="983"/>
      <c r="CK66" s="983"/>
      <c r="CL66" s="983"/>
      <c r="CM66" s="983"/>
      <c r="CN66" s="983"/>
      <c r="CO66" s="983"/>
      <c r="CP66" s="983"/>
      <c r="CQ66" s="983"/>
      <c r="CR66" s="982"/>
      <c r="CS66" s="982"/>
      <c r="CT66" s="982"/>
      <c r="CU66" s="982"/>
      <c r="CV66" s="982"/>
      <c r="CW66" s="982"/>
      <c r="CX66" s="982"/>
      <c r="CY66" s="982"/>
      <c r="CZ66" s="982"/>
      <c r="DA66" s="982"/>
      <c r="DB66" s="982"/>
      <c r="DC66" s="981"/>
      <c r="DD66" s="981"/>
      <c r="DE66" s="981"/>
      <c r="DF66" s="981"/>
      <c r="DG66" s="981"/>
      <c r="DH66" s="981"/>
    </row>
    <row r="67" spans="1:112" s="88" customFormat="1" ht="16.5" customHeight="1">
      <c r="A67" s="1799" t="str">
        <f t="shared" si="13"/>
        <v/>
      </c>
      <c r="B67" s="1799"/>
      <c r="C67" s="1799"/>
      <c r="D67" s="1799"/>
      <c r="E67" s="1800" t="str">
        <f t="shared" si="14"/>
        <v/>
      </c>
      <c r="F67" s="1801"/>
      <c r="G67" s="1801"/>
      <c r="H67" s="1802"/>
      <c r="I67" s="1803"/>
      <c r="J67" s="1803"/>
      <c r="K67" s="1803"/>
      <c r="L67" s="1803"/>
      <c r="M67" s="1803"/>
      <c r="N67" s="1803"/>
      <c r="O67" s="1803"/>
      <c r="P67" s="1803"/>
      <c r="Q67" s="1804" t="str">
        <f t="shared" si="15"/>
        <v/>
      </c>
      <c r="R67" s="1805"/>
      <c r="S67" s="1805"/>
      <c r="T67" s="1806"/>
      <c r="U67" s="1804" t="str">
        <f t="shared" si="18"/>
        <v/>
      </c>
      <c r="V67" s="1805"/>
      <c r="W67" s="1805"/>
      <c r="X67" s="1806"/>
      <c r="Y67" s="1807">
        <f t="shared" si="16"/>
        <v>0</v>
      </c>
      <c r="Z67" s="1808"/>
      <c r="AA67" s="1809"/>
      <c r="AB67" s="1810" t="e">
        <f t="shared" si="17"/>
        <v>#N/A</v>
      </c>
      <c r="AC67" s="1810"/>
      <c r="AD67" s="1810"/>
      <c r="AE67" s="1810"/>
      <c r="AF67" s="1333"/>
      <c r="AG67" s="370"/>
      <c r="AH67" s="370"/>
      <c r="AI67" s="1334" t="e">
        <f>+AI66+Q17</f>
        <v>#VALUE!</v>
      </c>
      <c r="AJ67" s="370"/>
      <c r="AK67" s="370"/>
      <c r="AL67" s="370"/>
      <c r="AM67" s="370"/>
      <c r="AN67" s="370"/>
      <c r="AO67" s="370"/>
      <c r="AP67" s="370"/>
      <c r="AQ67" s="370"/>
      <c r="AR67" s="370"/>
      <c r="AS67" s="370"/>
      <c r="AT67" s="370"/>
      <c r="AU67" s="370"/>
      <c r="AV67" s="370"/>
      <c r="AW67" s="370"/>
      <c r="AX67" s="370"/>
      <c r="AY67" s="370"/>
      <c r="AZ67" s="370"/>
      <c r="BA67" s="370"/>
      <c r="BB67" s="370"/>
      <c r="BC67" s="370"/>
      <c r="BD67" s="370"/>
      <c r="BE67" s="370"/>
      <c r="BF67" s="370"/>
      <c r="BG67" s="370"/>
      <c r="BH67" s="370"/>
      <c r="BI67" s="518"/>
      <c r="BJ67" s="518"/>
      <c r="BK67" s="518"/>
      <c r="BL67" s="518"/>
      <c r="BM67" s="518"/>
      <c r="BN67" s="518"/>
      <c r="BO67" s="518"/>
      <c r="BP67" s="518"/>
      <c r="BQ67" s="518"/>
      <c r="BR67" s="518"/>
      <c r="BS67" s="521"/>
      <c r="BT67" s="518"/>
      <c r="BU67" s="518"/>
      <c r="BV67" s="518"/>
      <c r="BW67" s="518"/>
      <c r="BX67" s="518"/>
      <c r="BY67" s="518"/>
      <c r="BZ67" s="518"/>
      <c r="CA67" s="518"/>
      <c r="CB67" s="371"/>
      <c r="CC67" s="371"/>
      <c r="CD67" s="371"/>
      <c r="CE67" s="371"/>
      <c r="CF67" s="371"/>
      <c r="CG67" s="371"/>
      <c r="CH67" s="371"/>
      <c r="CI67" s="982"/>
      <c r="CJ67" s="982"/>
      <c r="CK67" s="982"/>
      <c r="CL67" s="982"/>
      <c r="CM67" s="982"/>
      <c r="CN67" s="982"/>
      <c r="CO67" s="982"/>
      <c r="CP67" s="982"/>
      <c r="CQ67" s="982"/>
      <c r="CR67" s="982"/>
      <c r="CS67" s="982"/>
      <c r="CT67" s="982"/>
      <c r="CU67" s="982"/>
      <c r="CV67" s="982"/>
      <c r="CW67" s="982"/>
      <c r="CX67" s="982"/>
      <c r="CY67" s="982"/>
      <c r="CZ67" s="982"/>
      <c r="DA67" s="982"/>
      <c r="DB67" s="982"/>
      <c r="DC67" s="981"/>
      <c r="DD67" s="981"/>
      <c r="DE67" s="981"/>
      <c r="DF67" s="981"/>
      <c r="DG67" s="981"/>
      <c r="DH67" s="981"/>
    </row>
    <row r="68" spans="1:112" s="88" customFormat="1" ht="16.5" customHeight="1">
      <c r="A68" s="1799" t="str">
        <f t="shared" si="13"/>
        <v/>
      </c>
      <c r="B68" s="1799"/>
      <c r="C68" s="1799"/>
      <c r="D68" s="1799"/>
      <c r="E68" s="1800" t="str">
        <f t="shared" si="14"/>
        <v/>
      </c>
      <c r="F68" s="1801"/>
      <c r="G68" s="1801"/>
      <c r="H68" s="1802"/>
      <c r="I68" s="1803"/>
      <c r="J68" s="1803"/>
      <c r="K68" s="1803"/>
      <c r="L68" s="1803"/>
      <c r="M68" s="1803"/>
      <c r="N68" s="1803"/>
      <c r="O68" s="1803"/>
      <c r="P68" s="1803"/>
      <c r="Q68" s="1804" t="str">
        <f t="shared" si="15"/>
        <v/>
      </c>
      <c r="R68" s="1805"/>
      <c r="S68" s="1805"/>
      <c r="T68" s="1806"/>
      <c r="U68" s="1804" t="str">
        <f t="shared" si="18"/>
        <v/>
      </c>
      <c r="V68" s="1805"/>
      <c r="W68" s="1805"/>
      <c r="X68" s="1806"/>
      <c r="Y68" s="1807">
        <f t="shared" si="16"/>
        <v>0</v>
      </c>
      <c r="Z68" s="1808"/>
      <c r="AA68" s="1809"/>
      <c r="AB68" s="1810" t="e">
        <f t="shared" si="17"/>
        <v>#N/A</v>
      </c>
      <c r="AC68" s="1810"/>
      <c r="AD68" s="1810"/>
      <c r="AE68" s="1810"/>
      <c r="AF68" s="1333"/>
      <c r="AG68" s="370"/>
      <c r="AH68" s="370"/>
      <c r="AI68" s="1334" t="e">
        <f t="shared" si="19"/>
        <v>#VALUE!</v>
      </c>
      <c r="AJ68" s="370"/>
      <c r="AK68" s="370"/>
      <c r="AL68" s="370"/>
      <c r="AM68" s="370"/>
      <c r="AN68" s="370"/>
      <c r="AO68" s="370"/>
      <c r="AP68" s="370"/>
      <c r="AQ68" s="370"/>
      <c r="AR68" s="370"/>
      <c r="AS68" s="370"/>
      <c r="AT68" s="370"/>
      <c r="AU68" s="370"/>
      <c r="AV68" s="370"/>
      <c r="AW68" s="370"/>
      <c r="AX68" s="370"/>
      <c r="AY68" s="370"/>
      <c r="AZ68" s="370"/>
      <c r="BA68" s="370"/>
      <c r="BB68" s="370"/>
      <c r="BC68" s="370"/>
      <c r="BD68" s="370"/>
      <c r="BE68" s="370"/>
      <c r="BF68" s="370"/>
      <c r="BG68" s="370"/>
      <c r="BH68" s="370"/>
      <c r="BI68" s="520"/>
      <c r="BJ68" s="520"/>
      <c r="BK68" s="520"/>
      <c r="BL68" s="520"/>
      <c r="BM68" s="520"/>
      <c r="BN68" s="520"/>
      <c r="BO68" s="520"/>
      <c r="BP68" s="520"/>
      <c r="BQ68" s="520"/>
      <c r="BR68" s="520"/>
      <c r="BS68" s="521"/>
      <c r="BT68" s="521"/>
      <c r="BU68" s="521"/>
      <c r="BV68" s="521"/>
      <c r="BW68" s="521"/>
      <c r="BX68" s="521"/>
      <c r="BY68" s="521"/>
      <c r="BZ68" s="521"/>
      <c r="CA68" s="521"/>
      <c r="CB68" s="516"/>
      <c r="CC68" s="516"/>
      <c r="CD68" s="516"/>
      <c r="CE68" s="516"/>
      <c r="CF68" s="516"/>
      <c r="CG68" s="516"/>
      <c r="CH68" s="516"/>
      <c r="CI68" s="983"/>
      <c r="CJ68" s="983"/>
      <c r="CK68" s="983"/>
      <c r="CL68" s="983"/>
      <c r="CM68" s="983"/>
      <c r="CN68" s="983"/>
      <c r="CO68" s="983"/>
      <c r="CP68" s="983"/>
      <c r="CQ68" s="983"/>
      <c r="CR68" s="983"/>
      <c r="CS68" s="983"/>
      <c r="CT68" s="983"/>
      <c r="CU68" s="983"/>
      <c r="CV68" s="983"/>
      <c r="CW68" s="983"/>
      <c r="CX68" s="983"/>
      <c r="CY68" s="983"/>
      <c r="CZ68" s="983"/>
      <c r="DA68" s="983"/>
      <c r="DB68" s="983"/>
      <c r="DC68" s="981"/>
      <c r="DD68" s="981"/>
      <c r="DE68" s="981"/>
      <c r="DF68" s="981"/>
      <c r="DG68" s="981"/>
      <c r="DH68" s="981"/>
    </row>
    <row r="69" spans="1:112" s="88" customFormat="1" ht="16.5" customHeight="1">
      <c r="A69" s="1799" t="str">
        <f t="shared" si="13"/>
        <v/>
      </c>
      <c r="B69" s="1799"/>
      <c r="C69" s="1799"/>
      <c r="D69" s="1799"/>
      <c r="E69" s="1800" t="str">
        <f t="shared" si="14"/>
        <v/>
      </c>
      <c r="F69" s="1801"/>
      <c r="G69" s="1801"/>
      <c r="H69" s="1802"/>
      <c r="I69" s="1803"/>
      <c r="J69" s="1803"/>
      <c r="K69" s="1803"/>
      <c r="L69" s="1803"/>
      <c r="M69" s="1803"/>
      <c r="N69" s="1803"/>
      <c r="O69" s="1803"/>
      <c r="P69" s="1803"/>
      <c r="Q69" s="1804" t="str">
        <f t="shared" si="15"/>
        <v/>
      </c>
      <c r="R69" s="1805"/>
      <c r="S69" s="1805"/>
      <c r="T69" s="1806"/>
      <c r="U69" s="1804" t="str">
        <f t="shared" si="18"/>
        <v/>
      </c>
      <c r="V69" s="1805"/>
      <c r="W69" s="1805"/>
      <c r="X69" s="1806"/>
      <c r="Y69" s="1807">
        <f t="shared" si="16"/>
        <v>0</v>
      </c>
      <c r="Z69" s="1808"/>
      <c r="AA69" s="1809"/>
      <c r="AB69" s="1810" t="e">
        <f t="shared" si="17"/>
        <v>#N/A</v>
      </c>
      <c r="AC69" s="1810"/>
      <c r="AD69" s="1810"/>
      <c r="AE69" s="1810"/>
      <c r="AF69" s="1333"/>
      <c r="AG69" s="370"/>
      <c r="AH69" s="370"/>
      <c r="AI69" s="1334" t="e">
        <f t="shared" si="19"/>
        <v>#VALUE!</v>
      </c>
      <c r="AJ69" s="370"/>
      <c r="AK69" s="370"/>
      <c r="AL69" s="370"/>
      <c r="AM69" s="370"/>
      <c r="AN69" s="370"/>
      <c r="AO69" s="370"/>
      <c r="AP69" s="370"/>
      <c r="AQ69" s="370"/>
      <c r="AR69" s="370"/>
      <c r="AS69" s="370"/>
      <c r="AT69" s="370"/>
      <c r="AU69" s="370"/>
      <c r="AV69" s="370"/>
      <c r="AW69" s="370"/>
      <c r="AX69" s="370"/>
      <c r="AY69" s="370"/>
      <c r="AZ69" s="370"/>
      <c r="BA69" s="370"/>
      <c r="BB69" s="370"/>
      <c r="BC69" s="370"/>
      <c r="BD69" s="370"/>
      <c r="BE69" s="370"/>
      <c r="BF69" s="370"/>
      <c r="BG69" s="370"/>
      <c r="BH69" s="370"/>
      <c r="BI69" s="518"/>
      <c r="BJ69" s="518"/>
      <c r="BK69" s="518"/>
      <c r="BL69" s="518"/>
      <c r="BM69" s="518"/>
      <c r="BN69" s="518"/>
      <c r="BO69" s="518"/>
      <c r="BP69" s="518"/>
      <c r="BQ69" s="518"/>
      <c r="BR69" s="518"/>
      <c r="BS69" s="521"/>
      <c r="BT69" s="521"/>
      <c r="BU69" s="518"/>
      <c r="BV69" s="518"/>
      <c r="BW69" s="518"/>
      <c r="BX69" s="518"/>
      <c r="BY69" s="518"/>
      <c r="BZ69" s="518"/>
      <c r="CA69" s="518"/>
      <c r="CB69" s="371"/>
      <c r="CC69" s="371"/>
      <c r="CD69" s="371"/>
      <c r="CE69" s="371"/>
      <c r="CF69" s="371"/>
      <c r="CG69" s="371"/>
      <c r="CH69" s="371"/>
      <c r="CI69" s="982"/>
      <c r="CJ69" s="982"/>
      <c r="CK69" s="982"/>
      <c r="CL69" s="982"/>
      <c r="CM69" s="982"/>
      <c r="CN69" s="982"/>
      <c r="CO69" s="982"/>
      <c r="CP69" s="982"/>
      <c r="CQ69" s="982"/>
      <c r="CR69" s="982"/>
      <c r="CS69" s="982"/>
      <c r="CT69" s="982"/>
      <c r="CU69" s="982"/>
      <c r="CV69" s="982"/>
      <c r="CW69" s="982"/>
      <c r="CX69" s="982"/>
      <c r="CY69" s="982"/>
      <c r="CZ69" s="982"/>
      <c r="DA69" s="982"/>
      <c r="DB69" s="982"/>
      <c r="DC69" s="981"/>
      <c r="DD69" s="981"/>
      <c r="DE69" s="981"/>
      <c r="DF69" s="981"/>
      <c r="DG69" s="981"/>
      <c r="DH69" s="981"/>
    </row>
    <row r="70" spans="1:112" ht="16.5" customHeight="1">
      <c r="A70" s="1799" t="str">
        <f t="shared" si="13"/>
        <v/>
      </c>
      <c r="B70" s="1799"/>
      <c r="C70" s="1799"/>
      <c r="D70" s="1799"/>
      <c r="E70" s="1800" t="str">
        <f t="shared" si="14"/>
        <v/>
      </c>
      <c r="F70" s="1801"/>
      <c r="G70" s="1801"/>
      <c r="H70" s="1802"/>
      <c r="I70" s="1803"/>
      <c r="J70" s="1803"/>
      <c r="K70" s="1803"/>
      <c r="L70" s="1803"/>
      <c r="M70" s="1803"/>
      <c r="N70" s="1803"/>
      <c r="O70" s="1803"/>
      <c r="P70" s="1803"/>
      <c r="Q70" s="1804" t="str">
        <f t="shared" si="15"/>
        <v/>
      </c>
      <c r="R70" s="1805"/>
      <c r="S70" s="1805"/>
      <c r="T70" s="1806"/>
      <c r="U70" s="1804" t="str">
        <f t="shared" si="18"/>
        <v/>
      </c>
      <c r="V70" s="1805"/>
      <c r="W70" s="1805"/>
      <c r="X70" s="1806"/>
      <c r="Y70" s="1807">
        <f t="shared" si="16"/>
        <v>0</v>
      </c>
      <c r="Z70" s="1808"/>
      <c r="AA70" s="1809"/>
      <c r="AB70" s="1810" t="e">
        <f t="shared" si="17"/>
        <v>#N/A</v>
      </c>
      <c r="AC70" s="1810"/>
      <c r="AD70" s="1810"/>
      <c r="AE70" s="1810"/>
      <c r="AF70" s="1333"/>
      <c r="AG70" s="370"/>
      <c r="AH70" s="370"/>
      <c r="AI70" s="1334" t="e">
        <f t="shared" si="19"/>
        <v>#VALUE!</v>
      </c>
      <c r="AJ70" s="370"/>
      <c r="AK70" s="370"/>
      <c r="AL70" s="370"/>
      <c r="AM70" s="370"/>
      <c r="AN70" s="370"/>
      <c r="AO70" s="370"/>
      <c r="AP70" s="370"/>
      <c r="AQ70" s="370"/>
      <c r="AR70" s="370"/>
      <c r="AS70" s="370"/>
      <c r="AT70" s="370"/>
      <c r="AU70" s="370"/>
      <c r="AV70" s="370"/>
      <c r="AW70" s="370"/>
      <c r="AX70" s="370"/>
      <c r="AY70" s="370"/>
      <c r="AZ70" s="370"/>
      <c r="BA70" s="370"/>
      <c r="BB70" s="370"/>
      <c r="BC70" s="370"/>
      <c r="BD70" s="370"/>
      <c r="BE70" s="370"/>
      <c r="BF70" s="370"/>
      <c r="BG70" s="370"/>
      <c r="BH70" s="370"/>
      <c r="BI70" s="520"/>
      <c r="BJ70" s="520"/>
      <c r="BK70" s="520"/>
      <c r="BL70" s="520"/>
      <c r="BM70" s="520"/>
      <c r="BN70" s="520"/>
      <c r="BO70" s="520"/>
      <c r="BP70" s="520"/>
      <c r="BQ70" s="520"/>
      <c r="BR70" s="519"/>
      <c r="BS70" s="521"/>
      <c r="BT70" s="521"/>
      <c r="BU70" s="520"/>
      <c r="BV70" s="520"/>
      <c r="BW70" s="520"/>
      <c r="BX70" s="520"/>
      <c r="BY70" s="520"/>
      <c r="BZ70" s="520"/>
      <c r="CA70" s="520"/>
      <c r="CB70" s="516"/>
      <c r="CC70" s="516"/>
      <c r="CD70" s="516"/>
      <c r="CE70" s="516"/>
      <c r="CF70" s="516"/>
      <c r="CG70" s="516"/>
      <c r="CH70" s="516"/>
      <c r="CI70" s="983"/>
      <c r="CJ70" s="983"/>
      <c r="CK70" s="983"/>
      <c r="CL70" s="983"/>
      <c r="CM70" s="983"/>
      <c r="CN70" s="983"/>
      <c r="CO70" s="983"/>
      <c r="CP70" s="983"/>
      <c r="CQ70" s="983"/>
      <c r="CR70" s="983"/>
      <c r="CS70" s="983"/>
      <c r="CT70" s="983"/>
      <c r="CU70" s="983"/>
      <c r="CV70" s="983"/>
      <c r="CW70" s="983"/>
      <c r="CX70" s="983"/>
      <c r="CY70" s="983"/>
      <c r="CZ70" s="983"/>
      <c r="DA70" s="983"/>
      <c r="DB70" s="983"/>
      <c r="DC70" s="981"/>
      <c r="DD70" s="981"/>
      <c r="DE70" s="981"/>
      <c r="DF70" s="981"/>
      <c r="DG70" s="981"/>
      <c r="DH70" s="981"/>
    </row>
    <row r="71" spans="1:112" ht="16.5" customHeight="1">
      <c r="A71" s="1799" t="str">
        <f t="shared" si="13"/>
        <v/>
      </c>
      <c r="B71" s="1799"/>
      <c r="C71" s="1799"/>
      <c r="D71" s="1799"/>
      <c r="E71" s="1800" t="str">
        <f t="shared" si="14"/>
        <v/>
      </c>
      <c r="F71" s="1801"/>
      <c r="G71" s="1801"/>
      <c r="H71" s="1802"/>
      <c r="I71" s="1803"/>
      <c r="J71" s="1803"/>
      <c r="K71" s="1803"/>
      <c r="L71" s="1803"/>
      <c r="M71" s="1803"/>
      <c r="N71" s="1803"/>
      <c r="O71" s="1803"/>
      <c r="P71" s="1803"/>
      <c r="Q71" s="1804" t="str">
        <f t="shared" si="15"/>
        <v/>
      </c>
      <c r="R71" s="1805"/>
      <c r="S71" s="1805"/>
      <c r="T71" s="1806"/>
      <c r="U71" s="1804" t="str">
        <f t="shared" si="18"/>
        <v/>
      </c>
      <c r="V71" s="1805"/>
      <c r="W71" s="1805"/>
      <c r="X71" s="1806"/>
      <c r="Y71" s="1807">
        <f t="shared" si="16"/>
        <v>0</v>
      </c>
      <c r="Z71" s="1808"/>
      <c r="AA71" s="1809"/>
      <c r="AB71" s="1810" t="e">
        <f t="shared" si="17"/>
        <v>#N/A</v>
      </c>
      <c r="AC71" s="1810"/>
      <c r="AD71" s="1810"/>
      <c r="AE71" s="1810"/>
      <c r="AF71" s="1333"/>
      <c r="AG71" s="370"/>
      <c r="AH71" s="370"/>
      <c r="AI71" s="1335" t="e">
        <f>+SUM(AI65:AI70)/100</f>
        <v>#VALUE!</v>
      </c>
      <c r="AJ71" s="370"/>
      <c r="AK71" s="370"/>
      <c r="AL71" s="370"/>
      <c r="AM71" s="370"/>
      <c r="AN71" s="370"/>
      <c r="AO71" s="370"/>
      <c r="AP71" s="370"/>
      <c r="AQ71" s="370"/>
      <c r="AR71" s="370"/>
      <c r="AS71" s="370"/>
      <c r="AT71" s="370"/>
      <c r="AU71" s="370"/>
      <c r="AV71" s="370"/>
      <c r="AW71" s="370"/>
      <c r="AX71" s="370"/>
      <c r="AY71" s="370"/>
      <c r="AZ71" s="370"/>
      <c r="BA71" s="370"/>
      <c r="BB71" s="370"/>
      <c r="BC71" s="370"/>
      <c r="BD71" s="370"/>
      <c r="BE71" s="370"/>
      <c r="BF71" s="370"/>
      <c r="BG71" s="370"/>
      <c r="BH71" s="370"/>
      <c r="BI71" s="518"/>
      <c r="BJ71" s="518"/>
      <c r="BK71" s="518"/>
      <c r="BL71" s="518"/>
      <c r="BM71" s="518"/>
      <c r="BN71" s="518"/>
      <c r="BO71" s="518"/>
      <c r="BP71" s="518"/>
      <c r="BQ71" s="518"/>
      <c r="BR71" s="518"/>
      <c r="BS71" s="521"/>
      <c r="BT71" s="521"/>
      <c r="BU71" s="518"/>
      <c r="BV71" s="518"/>
      <c r="BW71" s="518"/>
      <c r="BX71" s="518"/>
      <c r="BY71" s="518"/>
      <c r="BZ71" s="518"/>
      <c r="CA71" s="518"/>
      <c r="CB71" s="371"/>
      <c r="CC71" s="371"/>
      <c r="CD71" s="371"/>
      <c r="CE71" s="371"/>
      <c r="CF71" s="371"/>
      <c r="CG71" s="371"/>
      <c r="CH71" s="371"/>
      <c r="CI71" s="982"/>
      <c r="CJ71" s="982"/>
      <c r="CK71" s="982"/>
      <c r="CL71" s="982"/>
      <c r="CM71" s="982"/>
      <c r="CN71" s="982"/>
      <c r="CO71" s="982"/>
      <c r="CP71" s="982"/>
      <c r="CQ71" s="982"/>
      <c r="CR71" s="982"/>
      <c r="CS71" s="982"/>
      <c r="CT71" s="982"/>
      <c r="CU71" s="982"/>
      <c r="CV71" s="982"/>
      <c r="CW71" s="982"/>
      <c r="CX71" s="982"/>
      <c r="CY71" s="982"/>
      <c r="CZ71" s="982"/>
      <c r="DA71" s="982"/>
      <c r="DB71" s="982"/>
      <c r="DC71" s="981"/>
      <c r="DD71" s="981"/>
      <c r="DE71" s="981"/>
      <c r="DF71" s="981"/>
      <c r="DG71" s="981"/>
      <c r="DH71" s="981"/>
    </row>
    <row r="72" spans="1:112" ht="16.5" customHeight="1">
      <c r="A72" s="1799" t="str">
        <f t="shared" si="13"/>
        <v/>
      </c>
      <c r="B72" s="1799"/>
      <c r="C72" s="1799"/>
      <c r="D72" s="1799"/>
      <c r="E72" s="1800" t="str">
        <f t="shared" si="14"/>
        <v/>
      </c>
      <c r="F72" s="1801"/>
      <c r="G72" s="1801"/>
      <c r="H72" s="1802"/>
      <c r="I72" s="1803"/>
      <c r="J72" s="1803"/>
      <c r="K72" s="1803"/>
      <c r="L72" s="1803"/>
      <c r="M72" s="1803"/>
      <c r="N72" s="1803"/>
      <c r="O72" s="1803"/>
      <c r="P72" s="1803"/>
      <c r="Q72" s="1804" t="str">
        <f t="shared" si="15"/>
        <v/>
      </c>
      <c r="R72" s="1805"/>
      <c r="S72" s="1805"/>
      <c r="T72" s="1806"/>
      <c r="U72" s="1804" t="str">
        <f t="shared" si="18"/>
        <v/>
      </c>
      <c r="V72" s="1805"/>
      <c r="W72" s="1805"/>
      <c r="X72" s="1806"/>
      <c r="Y72" s="1807">
        <f t="shared" si="16"/>
        <v>0</v>
      </c>
      <c r="Z72" s="1808"/>
      <c r="AA72" s="1809"/>
      <c r="AB72" s="1810" t="e">
        <f t="shared" si="17"/>
        <v>#N/A</v>
      </c>
      <c r="AC72" s="1810"/>
      <c r="AD72" s="1810"/>
      <c r="AE72" s="1810"/>
      <c r="AF72" s="1333"/>
      <c r="AG72" s="370"/>
      <c r="AH72" s="370"/>
      <c r="AI72" s="1334"/>
      <c r="AJ72" s="370"/>
      <c r="AK72" s="370"/>
      <c r="AL72" s="370"/>
      <c r="AM72" s="370"/>
      <c r="AN72" s="370"/>
      <c r="AO72" s="370"/>
      <c r="AP72" s="370"/>
      <c r="AQ72" s="370"/>
      <c r="AR72" s="370"/>
      <c r="AS72" s="370"/>
      <c r="AT72" s="370"/>
      <c r="AU72" s="370"/>
      <c r="AV72" s="370"/>
      <c r="AW72" s="370"/>
      <c r="AX72" s="370"/>
      <c r="AY72" s="370"/>
      <c r="AZ72" s="370"/>
      <c r="BA72" s="370"/>
      <c r="BB72" s="370"/>
      <c r="BC72" s="370"/>
      <c r="BD72" s="370"/>
      <c r="BE72" s="370"/>
      <c r="BF72" s="370"/>
      <c r="BG72" s="370"/>
      <c r="BH72" s="370"/>
      <c r="BI72" s="520"/>
      <c r="BJ72" s="520"/>
      <c r="BK72" s="520"/>
      <c r="BL72" s="520"/>
      <c r="BM72" s="520"/>
      <c r="BN72" s="520"/>
      <c r="BO72" s="520"/>
      <c r="BP72" s="520"/>
      <c r="BQ72" s="520"/>
      <c r="BR72" s="519"/>
      <c r="BS72" s="521"/>
      <c r="BT72" s="521"/>
      <c r="BU72" s="520"/>
      <c r="BV72" s="520"/>
      <c r="BW72" s="520"/>
      <c r="BX72" s="520"/>
      <c r="BY72" s="520"/>
      <c r="BZ72" s="520"/>
      <c r="CA72" s="520"/>
      <c r="CB72" s="371"/>
      <c r="CC72" s="371"/>
      <c r="CD72" s="371"/>
      <c r="CE72" s="371"/>
      <c r="CF72" s="371"/>
      <c r="CG72" s="371"/>
      <c r="CH72" s="371"/>
      <c r="CI72" s="983"/>
      <c r="CJ72" s="983"/>
      <c r="CK72" s="983"/>
      <c r="CL72" s="983"/>
      <c r="CM72" s="983"/>
      <c r="CN72" s="983"/>
      <c r="CO72" s="983"/>
      <c r="CP72" s="983"/>
      <c r="CQ72" s="983"/>
      <c r="CR72" s="983"/>
      <c r="CS72" s="983"/>
      <c r="CT72" s="983"/>
      <c r="CU72" s="983"/>
      <c r="CV72" s="983"/>
      <c r="CW72" s="983"/>
      <c r="CX72" s="983"/>
      <c r="CY72" s="983"/>
      <c r="CZ72" s="983"/>
      <c r="DA72" s="983"/>
      <c r="DB72" s="983"/>
      <c r="DC72" s="981"/>
      <c r="DD72" s="981"/>
      <c r="DE72" s="981"/>
      <c r="DF72" s="981"/>
      <c r="DG72" s="981"/>
      <c r="DH72" s="981"/>
    </row>
    <row r="73" spans="1:112" ht="16.5" customHeight="1">
      <c r="A73" s="1799" t="str">
        <f t="shared" si="13"/>
        <v/>
      </c>
      <c r="B73" s="1799"/>
      <c r="C73" s="1799"/>
      <c r="D73" s="1799"/>
      <c r="E73" s="1800" t="str">
        <f t="shared" si="14"/>
        <v/>
      </c>
      <c r="F73" s="1801"/>
      <c r="G73" s="1801"/>
      <c r="H73" s="1802"/>
      <c r="I73" s="1803"/>
      <c r="J73" s="1803"/>
      <c r="K73" s="1803"/>
      <c r="L73" s="1803"/>
      <c r="M73" s="1803"/>
      <c r="N73" s="1803"/>
      <c r="O73" s="1803"/>
      <c r="P73" s="1803"/>
      <c r="Q73" s="1804" t="str">
        <f t="shared" si="15"/>
        <v/>
      </c>
      <c r="R73" s="1805"/>
      <c r="S73" s="1805"/>
      <c r="T73" s="1806"/>
      <c r="U73" s="1804" t="str">
        <f t="shared" si="18"/>
        <v/>
      </c>
      <c r="V73" s="1805"/>
      <c r="W73" s="1805"/>
      <c r="X73" s="1806"/>
      <c r="Y73" s="1807">
        <f t="shared" si="16"/>
        <v>0</v>
      </c>
      <c r="Z73" s="1808"/>
      <c r="AA73" s="1809"/>
      <c r="AB73" s="1810" t="e">
        <f t="shared" si="17"/>
        <v>#N/A</v>
      </c>
      <c r="AC73" s="1810"/>
      <c r="AD73" s="1810"/>
      <c r="AE73" s="1810"/>
      <c r="AF73" s="1333"/>
      <c r="AG73" s="370"/>
      <c r="AH73" s="370"/>
      <c r="AI73" s="1334"/>
      <c r="AJ73" s="370"/>
      <c r="AK73" s="370"/>
      <c r="AL73" s="370"/>
      <c r="AM73" s="370"/>
      <c r="AN73" s="370"/>
      <c r="AO73" s="370"/>
      <c r="AP73" s="370"/>
      <c r="AQ73" s="370"/>
      <c r="AR73" s="370"/>
      <c r="AS73" s="370"/>
      <c r="AT73" s="370"/>
      <c r="AU73" s="370"/>
      <c r="AV73" s="370"/>
      <c r="AW73" s="370"/>
      <c r="AX73" s="370"/>
      <c r="AY73" s="370"/>
      <c r="AZ73" s="370"/>
      <c r="BA73" s="370"/>
      <c r="BB73" s="370"/>
      <c r="BC73" s="370"/>
      <c r="BD73" s="370"/>
      <c r="BE73" s="370"/>
      <c r="BF73" s="370"/>
      <c r="BG73" s="370"/>
      <c r="BH73" s="370"/>
      <c r="BI73" s="519"/>
      <c r="BJ73" s="520"/>
      <c r="BK73" s="520"/>
      <c r="BL73" s="520"/>
      <c r="BM73" s="520"/>
      <c r="BN73" s="520"/>
      <c r="BO73" s="520"/>
      <c r="BP73" s="520"/>
      <c r="BQ73" s="520"/>
      <c r="BR73" s="520"/>
      <c r="BS73" s="521"/>
      <c r="BT73" s="521"/>
      <c r="BU73" s="520"/>
      <c r="BV73" s="520"/>
      <c r="BW73" s="520"/>
      <c r="BX73" s="520"/>
      <c r="BY73" s="520"/>
      <c r="BZ73" s="520"/>
      <c r="CA73" s="520"/>
      <c r="CB73" s="371"/>
      <c r="CC73" s="371"/>
      <c r="CD73" s="371"/>
      <c r="CE73" s="371"/>
      <c r="CF73" s="371"/>
      <c r="CG73" s="371"/>
      <c r="CH73" s="371"/>
      <c r="CI73" s="983"/>
      <c r="CJ73" s="983"/>
      <c r="CK73" s="983"/>
      <c r="CL73" s="983"/>
      <c r="CM73" s="983"/>
      <c r="CN73" s="983"/>
      <c r="CO73" s="983"/>
      <c r="CP73" s="983"/>
      <c r="CQ73" s="983"/>
      <c r="CR73" s="983"/>
      <c r="CS73" s="983"/>
      <c r="CT73" s="983"/>
      <c r="CU73" s="983"/>
      <c r="CV73" s="983"/>
      <c r="CW73" s="983"/>
      <c r="CX73" s="983"/>
      <c r="CY73" s="983"/>
      <c r="CZ73" s="983"/>
      <c r="DA73" s="983"/>
      <c r="DB73" s="983"/>
      <c r="DC73" s="981"/>
      <c r="DD73" s="981"/>
      <c r="DE73" s="981"/>
      <c r="DF73" s="981"/>
      <c r="DG73" s="981"/>
      <c r="DH73" s="981"/>
    </row>
    <row r="74" spans="1:112" ht="16.5" customHeight="1">
      <c r="A74" s="1799" t="str">
        <f t="shared" si="13"/>
        <v/>
      </c>
      <c r="B74" s="1799"/>
      <c r="C74" s="1799"/>
      <c r="D74" s="1799"/>
      <c r="E74" s="1800" t="str">
        <f t="shared" si="14"/>
        <v/>
      </c>
      <c r="F74" s="1801"/>
      <c r="G74" s="1801"/>
      <c r="H74" s="1802"/>
      <c r="I74" s="1803"/>
      <c r="J74" s="1803"/>
      <c r="K74" s="1803"/>
      <c r="L74" s="1803"/>
      <c r="M74" s="1803"/>
      <c r="N74" s="1803"/>
      <c r="O74" s="1803"/>
      <c r="P74" s="1803"/>
      <c r="Q74" s="1804" t="str">
        <f t="shared" si="15"/>
        <v/>
      </c>
      <c r="R74" s="1805"/>
      <c r="S74" s="1805"/>
      <c r="T74" s="1806"/>
      <c r="U74" s="1804" t="str">
        <f t="shared" si="18"/>
        <v/>
      </c>
      <c r="V74" s="1805"/>
      <c r="W74" s="1805"/>
      <c r="X74" s="1806"/>
      <c r="Y74" s="1807">
        <f t="shared" si="16"/>
        <v>0</v>
      </c>
      <c r="Z74" s="1808"/>
      <c r="AA74" s="1809"/>
      <c r="AB74" s="1810" t="e">
        <f t="shared" si="17"/>
        <v>#N/A</v>
      </c>
      <c r="AC74" s="1810"/>
      <c r="AD74" s="1810"/>
      <c r="AE74" s="1810"/>
      <c r="AF74" s="1333"/>
      <c r="AG74" s="370"/>
      <c r="AH74" s="370"/>
      <c r="AI74" s="1336"/>
      <c r="AJ74" s="370"/>
      <c r="AK74" s="370"/>
      <c r="AL74" s="370"/>
      <c r="AM74" s="370"/>
      <c r="AN74" s="370"/>
      <c r="AO74" s="370"/>
      <c r="AP74" s="370"/>
      <c r="AQ74" s="370"/>
      <c r="AR74" s="370"/>
      <c r="AS74" s="370"/>
      <c r="AT74" s="370"/>
      <c r="AU74" s="370"/>
      <c r="AV74" s="370"/>
      <c r="AW74" s="370"/>
      <c r="AX74" s="370"/>
      <c r="AY74" s="370"/>
      <c r="AZ74" s="370"/>
      <c r="BA74" s="370"/>
      <c r="BB74" s="370"/>
      <c r="BC74" s="370"/>
      <c r="BD74" s="370"/>
      <c r="BE74" s="370"/>
      <c r="BF74" s="370"/>
      <c r="BG74" s="370"/>
      <c r="BH74" s="370"/>
      <c r="BI74" s="1012"/>
      <c r="BJ74" s="518"/>
      <c r="BK74" s="518"/>
      <c r="BL74" s="518"/>
      <c r="BM74" s="518"/>
      <c r="BN74" s="518"/>
      <c r="BO74" s="518"/>
      <c r="BP74" s="518"/>
      <c r="BQ74" s="518"/>
      <c r="BR74" s="520"/>
      <c r="BS74" s="521"/>
      <c r="BT74" s="521"/>
      <c r="BU74" s="518"/>
      <c r="BV74" s="518"/>
      <c r="BW74" s="518"/>
      <c r="BX74" s="518"/>
      <c r="BY74" s="518"/>
      <c r="BZ74" s="518"/>
      <c r="CA74" s="518"/>
      <c r="CB74" s="371"/>
      <c r="CC74" s="371"/>
      <c r="CD74" s="371"/>
      <c r="CE74" s="371"/>
      <c r="CF74" s="371"/>
      <c r="CG74" s="371"/>
      <c r="CH74" s="371"/>
      <c r="CI74" s="982"/>
      <c r="CJ74" s="982"/>
      <c r="CK74" s="982"/>
      <c r="CL74" s="982"/>
      <c r="CM74" s="982"/>
      <c r="CN74" s="982"/>
      <c r="CO74" s="982"/>
      <c r="CP74" s="982"/>
      <c r="CQ74" s="982"/>
      <c r="CR74" s="982"/>
      <c r="CS74" s="982"/>
      <c r="CT74" s="982"/>
      <c r="CU74" s="982"/>
      <c r="CV74" s="982"/>
      <c r="CW74" s="982"/>
      <c r="CX74" s="982"/>
      <c r="CY74" s="982"/>
      <c r="CZ74" s="982"/>
      <c r="DA74" s="982"/>
      <c r="DB74" s="982"/>
      <c r="DC74" s="981"/>
      <c r="DD74" s="981"/>
      <c r="DE74" s="981"/>
      <c r="DF74" s="981"/>
      <c r="DG74" s="981"/>
      <c r="DH74" s="981"/>
    </row>
    <row r="75" spans="1:112" ht="16.5" customHeight="1">
      <c r="A75" s="1799" t="str">
        <f t="shared" si="13"/>
        <v/>
      </c>
      <c r="B75" s="1799"/>
      <c r="C75" s="1799"/>
      <c r="D75" s="1799"/>
      <c r="E75" s="1800" t="str">
        <f t="shared" si="14"/>
        <v/>
      </c>
      <c r="F75" s="1801"/>
      <c r="G75" s="1801"/>
      <c r="H75" s="1802"/>
      <c r="I75" s="1803"/>
      <c r="J75" s="1803"/>
      <c r="K75" s="1803"/>
      <c r="L75" s="1803"/>
      <c r="M75" s="1803"/>
      <c r="N75" s="1803"/>
      <c r="O75" s="1803"/>
      <c r="P75" s="1803"/>
      <c r="Q75" s="1804" t="str">
        <f t="shared" si="15"/>
        <v/>
      </c>
      <c r="R75" s="1805"/>
      <c r="S75" s="1805"/>
      <c r="T75" s="1806"/>
      <c r="U75" s="1804" t="str">
        <f t="shared" si="18"/>
        <v/>
      </c>
      <c r="V75" s="1805"/>
      <c r="W75" s="1805"/>
      <c r="X75" s="1806"/>
      <c r="Y75" s="1807">
        <f t="shared" si="16"/>
        <v>0</v>
      </c>
      <c r="Z75" s="1808"/>
      <c r="AA75" s="1809"/>
      <c r="AB75" s="1810" t="e">
        <f t="shared" si="17"/>
        <v>#N/A</v>
      </c>
      <c r="AC75" s="1810"/>
      <c r="AD75" s="1810"/>
      <c r="AE75" s="1810"/>
      <c r="AF75" s="1333"/>
      <c r="AG75" s="370"/>
      <c r="AH75" s="370"/>
      <c r="AI75" s="1336"/>
      <c r="AJ75" s="370"/>
      <c r="AK75" s="370"/>
      <c r="AL75" s="370"/>
      <c r="AM75" s="370"/>
      <c r="AN75" s="370"/>
      <c r="AO75" s="370"/>
      <c r="AP75" s="370"/>
      <c r="AQ75" s="370"/>
      <c r="AR75" s="370"/>
      <c r="AS75" s="370"/>
      <c r="AT75" s="370"/>
      <c r="AU75" s="370"/>
      <c r="AV75" s="370"/>
      <c r="AW75" s="370"/>
      <c r="AX75" s="370"/>
      <c r="AY75" s="370"/>
      <c r="AZ75" s="370"/>
      <c r="BA75" s="370"/>
      <c r="BB75" s="370"/>
      <c r="BC75" s="370"/>
      <c r="BD75" s="370"/>
      <c r="BE75" s="370"/>
      <c r="BF75" s="370"/>
      <c r="BG75" s="370"/>
      <c r="BH75" s="370"/>
      <c r="BI75" s="519"/>
      <c r="BJ75" s="519"/>
      <c r="BK75" s="519"/>
      <c r="BL75" s="519"/>
      <c r="BM75" s="519"/>
      <c r="BN75" s="519"/>
      <c r="BO75" s="519"/>
      <c r="BP75" s="519"/>
      <c r="BQ75" s="519"/>
      <c r="BR75" s="371"/>
      <c r="BS75" s="521"/>
      <c r="BT75" s="521"/>
      <c r="BU75" s="520"/>
      <c r="BV75" s="520"/>
      <c r="BW75" s="520"/>
      <c r="BX75" s="520"/>
      <c r="BY75" s="520"/>
      <c r="BZ75" s="520"/>
      <c r="CA75" s="520"/>
      <c r="CB75" s="371"/>
      <c r="CC75" s="371"/>
      <c r="CD75" s="371"/>
      <c r="CE75" s="371"/>
      <c r="CF75" s="371"/>
      <c r="CG75" s="371"/>
      <c r="CH75" s="371"/>
      <c r="CI75" s="983"/>
      <c r="CJ75" s="983"/>
      <c r="CK75" s="983"/>
      <c r="CL75" s="983"/>
      <c r="CM75" s="983"/>
      <c r="CN75" s="983"/>
      <c r="CO75" s="983"/>
      <c r="CP75" s="983"/>
      <c r="CQ75" s="983"/>
      <c r="CR75" s="1309"/>
      <c r="CS75" s="1309"/>
      <c r="CT75" s="1309"/>
      <c r="CU75" s="1309"/>
      <c r="CV75" s="1309"/>
      <c r="CW75" s="1309"/>
      <c r="CX75" s="1309"/>
      <c r="CY75" s="1309"/>
      <c r="CZ75" s="1309"/>
      <c r="DA75" s="1309"/>
      <c r="DB75" s="1309"/>
      <c r="DC75" s="981"/>
      <c r="DD75" s="981"/>
      <c r="DE75" s="981"/>
      <c r="DF75" s="981"/>
      <c r="DG75" s="981"/>
      <c r="DH75" s="981"/>
    </row>
    <row r="76" spans="1:112" ht="16.5" customHeight="1">
      <c r="A76" s="1811" t="str">
        <f t="shared" si="13"/>
        <v>Pasa</v>
      </c>
      <c r="B76" s="1811"/>
      <c r="C76" s="1811"/>
      <c r="D76" s="1812"/>
      <c r="E76" s="1800" t="s">
        <v>625</v>
      </c>
      <c r="F76" s="1801"/>
      <c r="G76" s="1801"/>
      <c r="H76" s="1802"/>
      <c r="I76" s="1803"/>
      <c r="J76" s="1803"/>
      <c r="K76" s="1803"/>
      <c r="L76" s="1803"/>
      <c r="M76" s="1803"/>
      <c r="N76" s="1803"/>
      <c r="O76" s="1803"/>
      <c r="P76" s="1803"/>
      <c r="Q76" s="1804" t="str">
        <f t="shared" si="15"/>
        <v/>
      </c>
      <c r="R76" s="1805"/>
      <c r="S76" s="1805"/>
      <c r="T76" s="1806"/>
      <c r="U76" s="1804" t="str">
        <f t="shared" si="18"/>
        <v/>
      </c>
      <c r="V76" s="1805"/>
      <c r="W76" s="1805"/>
      <c r="X76" s="1806"/>
      <c r="Y76" s="1807">
        <f t="shared" si="16"/>
        <v>0</v>
      </c>
      <c r="Z76" s="1808"/>
      <c r="AA76" s="1809"/>
      <c r="AB76" s="1813" t="s">
        <v>51</v>
      </c>
      <c r="AC76" s="1813"/>
      <c r="AD76" s="1813"/>
      <c r="AE76" s="1813"/>
      <c r="AF76" s="1333"/>
      <c r="AG76" s="370"/>
      <c r="AH76" s="370"/>
      <c r="AI76" s="370"/>
      <c r="AJ76" s="370"/>
      <c r="AK76" s="370"/>
      <c r="AL76" s="370"/>
      <c r="AM76" s="370"/>
      <c r="AN76" s="370"/>
      <c r="AO76" s="370"/>
      <c r="AP76" s="370"/>
      <c r="AQ76" s="370"/>
      <c r="AR76" s="370"/>
      <c r="AS76" s="370"/>
      <c r="AT76" s="370"/>
      <c r="AU76" s="370"/>
      <c r="AV76" s="370"/>
      <c r="AW76" s="370"/>
      <c r="AX76" s="370"/>
      <c r="AY76" s="370"/>
      <c r="AZ76" s="370"/>
      <c r="BA76" s="370"/>
      <c r="BB76" s="370"/>
      <c r="BC76" s="370"/>
      <c r="BD76" s="370"/>
      <c r="BE76" s="370"/>
      <c r="BF76" s="370"/>
      <c r="BG76" s="370"/>
      <c r="BH76" s="370"/>
      <c r="BI76" s="519"/>
      <c r="BJ76" s="519"/>
      <c r="BK76" s="519"/>
      <c r="BL76" s="519"/>
      <c r="BM76" s="519"/>
      <c r="BN76" s="519"/>
      <c r="BO76" s="519"/>
      <c r="BP76" s="519"/>
      <c r="BQ76" s="519"/>
      <c r="BR76" s="371"/>
      <c r="BS76" s="521"/>
      <c r="BT76" s="521"/>
      <c r="BU76" s="518"/>
      <c r="BV76" s="518"/>
      <c r="BW76" s="518"/>
      <c r="BX76" s="518"/>
      <c r="BY76" s="518"/>
      <c r="BZ76" s="518"/>
      <c r="CA76" s="518"/>
      <c r="CB76" s="371"/>
      <c r="CC76" s="371"/>
      <c r="CD76" s="371"/>
      <c r="CE76" s="371"/>
      <c r="CF76" s="371"/>
      <c r="CG76" s="371"/>
      <c r="CH76" s="371"/>
      <c r="CI76" s="983"/>
      <c r="CJ76" s="983"/>
      <c r="CK76" s="983"/>
      <c r="CL76" s="983"/>
      <c r="CM76" s="983"/>
      <c r="CN76" s="983"/>
      <c r="CO76" s="983"/>
      <c r="CP76" s="983"/>
      <c r="CQ76" s="983"/>
      <c r="CR76" s="982"/>
      <c r="CS76" s="982"/>
      <c r="CT76" s="982"/>
      <c r="CU76" s="982"/>
      <c r="CV76" s="982"/>
      <c r="CW76" s="982"/>
      <c r="CX76" s="982"/>
      <c r="CY76" s="982"/>
      <c r="CZ76" s="982"/>
      <c r="DA76" s="982"/>
      <c r="DB76" s="982"/>
      <c r="DC76" s="981"/>
      <c r="DD76" s="981"/>
      <c r="DE76" s="981"/>
      <c r="DF76" s="981"/>
      <c r="DG76" s="981"/>
      <c r="DH76" s="981"/>
    </row>
    <row r="77" spans="1:112" ht="19.5" customHeight="1">
      <c r="I77" s="1310">
        <v>0</v>
      </c>
      <c r="AG77" s="370"/>
      <c r="AH77" s="370"/>
      <c r="AI77" s="370"/>
      <c r="AJ77" s="370"/>
      <c r="AK77" s="370"/>
      <c r="AL77" s="370"/>
      <c r="AM77" s="370"/>
      <c r="AN77" s="370"/>
      <c r="AO77" s="370"/>
      <c r="AP77" s="370"/>
      <c r="AQ77" s="370"/>
      <c r="AR77" s="370"/>
      <c r="AS77" s="370"/>
      <c r="AT77" s="370"/>
      <c r="AU77" s="370"/>
      <c r="AV77" s="370"/>
      <c r="AW77" s="370"/>
      <c r="AX77" s="370"/>
      <c r="AY77" s="370"/>
      <c r="AZ77" s="370"/>
      <c r="BA77" s="370"/>
      <c r="BB77" s="370"/>
      <c r="BC77" s="370"/>
      <c r="BD77" s="370"/>
      <c r="BE77" s="370"/>
      <c r="BF77" s="370"/>
      <c r="BG77" s="370"/>
      <c r="BH77" s="370"/>
      <c r="BI77" s="519"/>
      <c r="BJ77" s="519"/>
      <c r="BK77" s="519"/>
      <c r="BL77" s="519"/>
      <c r="BM77" s="519"/>
      <c r="BN77" s="519"/>
      <c r="BO77" s="519"/>
      <c r="BP77" s="519"/>
      <c r="BQ77" s="519"/>
      <c r="BR77" s="371"/>
      <c r="BS77" s="521"/>
      <c r="BT77" s="521"/>
      <c r="BU77" s="520"/>
      <c r="BV77" s="520"/>
      <c r="BW77" s="520"/>
      <c r="BX77" s="520"/>
      <c r="BY77" s="520"/>
      <c r="BZ77" s="520"/>
      <c r="CA77" s="520"/>
      <c r="CB77" s="371"/>
      <c r="CC77" s="371"/>
      <c r="CD77" s="371"/>
      <c r="CE77" s="371"/>
      <c r="CF77" s="371"/>
      <c r="CG77" s="371"/>
      <c r="CH77" s="371"/>
      <c r="CI77" s="983"/>
      <c r="CJ77" s="983"/>
      <c r="CK77" s="983"/>
      <c r="CL77" s="983"/>
      <c r="CM77" s="983"/>
      <c r="CN77" s="983"/>
      <c r="CO77" s="983"/>
      <c r="CP77" s="983"/>
      <c r="CQ77" s="983"/>
      <c r="CR77" s="1309"/>
      <c r="CS77" s="1309"/>
      <c r="CT77" s="1309"/>
      <c r="CU77" s="1309"/>
      <c r="CV77" s="1309"/>
      <c r="CW77" s="1309"/>
      <c r="CX77" s="1309"/>
      <c r="CY77" s="1309"/>
      <c r="CZ77" s="1309"/>
      <c r="DA77" s="1309"/>
      <c r="DB77" s="1309"/>
      <c r="DC77" s="981"/>
      <c r="DD77" s="981"/>
      <c r="DE77" s="981"/>
      <c r="DF77" s="981"/>
      <c r="DG77" s="981"/>
      <c r="DH77" s="981"/>
    </row>
    <row r="78" spans="1:112" ht="19.5" customHeight="1">
      <c r="I78" s="1310">
        <v>0</v>
      </c>
      <c r="AG78" s="370"/>
      <c r="AH78" s="370"/>
      <c r="AI78" s="370"/>
      <c r="AJ78" s="370"/>
      <c r="AK78" s="370"/>
      <c r="AL78" s="370"/>
      <c r="AM78" s="370"/>
      <c r="AN78" s="370"/>
      <c r="AO78" s="370"/>
      <c r="AP78" s="370"/>
      <c r="AQ78" s="370"/>
      <c r="AR78" s="370"/>
      <c r="AS78" s="370"/>
      <c r="AT78" s="370"/>
      <c r="AU78" s="370"/>
      <c r="AV78" s="370"/>
      <c r="AW78" s="370"/>
      <c r="AX78" s="370"/>
      <c r="AY78" s="370"/>
      <c r="AZ78" s="370"/>
      <c r="BA78" s="370"/>
      <c r="BB78" s="370"/>
      <c r="BC78" s="370"/>
      <c r="BD78" s="370"/>
      <c r="BE78" s="370"/>
      <c r="BF78" s="370"/>
      <c r="BG78" s="370"/>
      <c r="BH78" s="370"/>
      <c r="BI78" s="1012"/>
      <c r="BJ78" s="518"/>
      <c r="BK78" s="1013"/>
      <c r="BL78" s="371"/>
      <c r="BM78" s="371"/>
      <c r="BN78" s="371"/>
      <c r="BO78" s="371"/>
      <c r="BP78" s="371"/>
      <c r="BQ78" s="371"/>
      <c r="BR78" s="371"/>
      <c r="BS78" s="1014"/>
      <c r="BT78" s="1013"/>
      <c r="BU78" s="518"/>
      <c r="BV78" s="518"/>
      <c r="BW78" s="518"/>
      <c r="BX78" s="518"/>
      <c r="BY78" s="518"/>
      <c r="BZ78" s="518"/>
      <c r="CA78" s="518"/>
      <c r="CB78" s="371"/>
      <c r="CC78" s="371"/>
      <c r="CD78" s="371"/>
      <c r="CE78" s="371"/>
      <c r="CF78" s="371"/>
      <c r="CG78" s="371"/>
      <c r="CH78" s="371"/>
      <c r="CI78" s="1015"/>
      <c r="CJ78" s="1015"/>
      <c r="CK78" s="1015"/>
      <c r="CL78" s="1015"/>
      <c r="CM78" s="1015"/>
      <c r="CN78" s="1015"/>
      <c r="CO78" s="1015"/>
      <c r="CP78" s="1015"/>
      <c r="CQ78" s="1015"/>
      <c r="CR78" s="1015"/>
      <c r="CS78" s="1015"/>
      <c r="CT78" s="1015"/>
      <c r="CU78" s="1015"/>
      <c r="CV78" s="1015"/>
      <c r="CW78" s="1015"/>
      <c r="CX78" s="1015"/>
      <c r="CY78" s="1015"/>
      <c r="CZ78" s="1015"/>
      <c r="DA78" s="1015"/>
      <c r="DB78" s="1015"/>
      <c r="DC78" s="981"/>
      <c r="DD78" s="981"/>
      <c r="DE78" s="981"/>
      <c r="DF78" s="981"/>
      <c r="DG78" s="981"/>
      <c r="DH78" s="981"/>
    </row>
    <row r="79" spans="1:112">
      <c r="I79" s="1310">
        <v>0</v>
      </c>
      <c r="AQ79" s="370"/>
      <c r="AR79" s="370"/>
      <c r="AS79" s="370"/>
      <c r="AT79" s="370"/>
      <c r="AU79" s="370"/>
      <c r="BI79" s="344"/>
      <c r="BJ79" s="1016"/>
      <c r="BK79" s="332"/>
      <c r="BL79" s="332"/>
      <c r="BM79" s="332"/>
      <c r="BN79" s="332"/>
      <c r="BO79" s="332"/>
      <c r="BP79" s="332"/>
      <c r="BQ79" s="332"/>
      <c r="BR79" s="332"/>
      <c r="BS79" s="332"/>
      <c r="BT79" s="332"/>
      <c r="BU79" s="332"/>
      <c r="BV79" s="332"/>
      <c r="BW79" s="332"/>
      <c r="BX79" s="332"/>
      <c r="BY79" s="332"/>
      <c r="BZ79" s="332"/>
      <c r="CA79" s="332"/>
      <c r="CB79" s="332"/>
      <c r="CC79" s="332"/>
      <c r="CD79" s="332"/>
      <c r="CE79" s="332"/>
      <c r="CF79" s="332"/>
      <c r="CG79" s="332"/>
      <c r="CH79" s="332"/>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row>
    <row r="80" spans="1:112">
      <c r="I80" s="1310">
        <v>0</v>
      </c>
      <c r="AQ80" s="370"/>
      <c r="AR80" s="370"/>
      <c r="AS80" s="370"/>
      <c r="AT80" s="370"/>
      <c r="AU80" s="370"/>
    </row>
    <row r="81" spans="9:9">
      <c r="I81" s="1310">
        <v>0</v>
      </c>
    </row>
  </sheetData>
  <sheetProtection formatCells="0" formatColumns="0" formatRows="0"/>
  <mergeCells count="328">
    <mergeCell ref="Y11:AF11"/>
    <mergeCell ref="A11:H11"/>
    <mergeCell ref="I11:M11"/>
    <mergeCell ref="N11:X11"/>
    <mergeCell ref="AH12:BG12"/>
    <mergeCell ref="CI58:DH58"/>
    <mergeCell ref="A1:I5"/>
    <mergeCell ref="J1:AF1"/>
    <mergeCell ref="J2:AF2"/>
    <mergeCell ref="J3:AF3"/>
    <mergeCell ref="J4:U4"/>
    <mergeCell ref="V4:AF4"/>
    <mergeCell ref="J5:AF5"/>
    <mergeCell ref="V8:AA8"/>
    <mergeCell ref="AB8:AF8"/>
    <mergeCell ref="V6:AA6"/>
    <mergeCell ref="AB6:AF6"/>
    <mergeCell ref="AE51:AF51"/>
    <mergeCell ref="BI12:CH12"/>
    <mergeCell ref="CI12:DH12"/>
    <mergeCell ref="A13:D13"/>
    <mergeCell ref="E13:H13"/>
    <mergeCell ref="Q13:T13"/>
    <mergeCell ref="U13:X13"/>
    <mergeCell ref="Y13:AB13"/>
    <mergeCell ref="AC13:AF13"/>
    <mergeCell ref="A12:H12"/>
    <mergeCell ref="I12:P13"/>
    <mergeCell ref="Q12:X12"/>
    <mergeCell ref="Y12:AF12"/>
    <mergeCell ref="AC14:AF14"/>
    <mergeCell ref="A15:D15"/>
    <mergeCell ref="E15:H15"/>
    <mergeCell ref="I15:P15"/>
    <mergeCell ref="Q15:T15"/>
    <mergeCell ref="U15:X15"/>
    <mergeCell ref="Y15:AB15"/>
    <mergeCell ref="AC15:AF15"/>
    <mergeCell ref="A14:D14"/>
    <mergeCell ref="E14:H14"/>
    <mergeCell ref="I14:P14"/>
    <mergeCell ref="Q14:T14"/>
    <mergeCell ref="U14:X14"/>
    <mergeCell ref="Y14:AB14"/>
    <mergeCell ref="AC16:AF16"/>
    <mergeCell ref="A17:D17"/>
    <mergeCell ref="E17:H17"/>
    <mergeCell ref="I17:P17"/>
    <mergeCell ref="Q17:T17"/>
    <mergeCell ref="U17:X17"/>
    <mergeCell ref="Y17:AB17"/>
    <mergeCell ref="AC17:AF17"/>
    <mergeCell ref="A16:D16"/>
    <mergeCell ref="E16:H16"/>
    <mergeCell ref="I16:P16"/>
    <mergeCell ref="Q16:T16"/>
    <mergeCell ref="U16:X16"/>
    <mergeCell ref="Y16:AB16"/>
    <mergeCell ref="AC18:AF18"/>
    <mergeCell ref="A19:D19"/>
    <mergeCell ref="E19:H19"/>
    <mergeCell ref="I19:P19"/>
    <mergeCell ref="Q19:T19"/>
    <mergeCell ref="U19:X19"/>
    <mergeCell ref="Y19:AB19"/>
    <mergeCell ref="AC19:AF19"/>
    <mergeCell ref="A18:D18"/>
    <mergeCell ref="E18:H18"/>
    <mergeCell ref="I18:P18"/>
    <mergeCell ref="Q18:T18"/>
    <mergeCell ref="U18:X18"/>
    <mergeCell ref="Y18:AB18"/>
    <mergeCell ref="AC20:AF20"/>
    <mergeCell ref="A21:D21"/>
    <mergeCell ref="E21:H21"/>
    <mergeCell ref="I21:P21"/>
    <mergeCell ref="Q21:T21"/>
    <mergeCell ref="U21:X21"/>
    <mergeCell ref="Y21:AB21"/>
    <mergeCell ref="AC21:AF21"/>
    <mergeCell ref="A20:D20"/>
    <mergeCell ref="E20:H20"/>
    <mergeCell ref="I20:P20"/>
    <mergeCell ref="Q20:T20"/>
    <mergeCell ref="U20:X20"/>
    <mergeCell ref="Y20:AB20"/>
    <mergeCell ref="AC24:AF24"/>
    <mergeCell ref="A24:D24"/>
    <mergeCell ref="E24:H24"/>
    <mergeCell ref="I24:P24"/>
    <mergeCell ref="Q24:T24"/>
    <mergeCell ref="U24:X24"/>
    <mergeCell ref="Y24:AB24"/>
    <mergeCell ref="Q26:T26"/>
    <mergeCell ref="AC22:AF22"/>
    <mergeCell ref="A23:D23"/>
    <mergeCell ref="E23:H23"/>
    <mergeCell ref="I23:P23"/>
    <mergeCell ref="Q23:T23"/>
    <mergeCell ref="U23:X23"/>
    <mergeCell ref="Y23:AB23"/>
    <mergeCell ref="AC23:AF23"/>
    <mergeCell ref="A22:D22"/>
    <mergeCell ref="E22:H22"/>
    <mergeCell ref="I22:P22"/>
    <mergeCell ref="Q22:T22"/>
    <mergeCell ref="U22:X22"/>
    <mergeCell ref="Y22:AB22"/>
    <mergeCell ref="Q46:X46"/>
    <mergeCell ref="Y46:AF46"/>
    <mergeCell ref="I44:P44"/>
    <mergeCell ref="Q44:X44"/>
    <mergeCell ref="Y44:AF44"/>
    <mergeCell ref="A25:D25"/>
    <mergeCell ref="G25:H25"/>
    <mergeCell ref="K25:L25"/>
    <mergeCell ref="U25:W25"/>
    <mergeCell ref="Y25:AC25"/>
    <mergeCell ref="A42:E42"/>
    <mergeCell ref="G42:AF42"/>
    <mergeCell ref="AV49:AW49"/>
    <mergeCell ref="AV43:AW43"/>
    <mergeCell ref="AV44:AW44"/>
    <mergeCell ref="AV45:AW45"/>
    <mergeCell ref="AV46:AW46"/>
    <mergeCell ref="AV47:AW47"/>
    <mergeCell ref="AV48:AW48"/>
    <mergeCell ref="AB9:AF9"/>
    <mergeCell ref="A6:D6"/>
    <mergeCell ref="A8:D8"/>
    <mergeCell ref="A9:D9"/>
    <mergeCell ref="E6:U6"/>
    <mergeCell ref="E8:J8"/>
    <mergeCell ref="E7:J7"/>
    <mergeCell ref="E9:U9"/>
    <mergeCell ref="K8:N8"/>
    <mergeCell ref="O8:U8"/>
    <mergeCell ref="K7:N7"/>
    <mergeCell ref="O7:U7"/>
    <mergeCell ref="V7:AA7"/>
    <mergeCell ref="AB7:AF7"/>
    <mergeCell ref="V9:AA9"/>
    <mergeCell ref="A44:H44"/>
    <mergeCell ref="A47:H47"/>
    <mergeCell ref="A7:C7"/>
    <mergeCell ref="A10:F10"/>
    <mergeCell ref="G10:W10"/>
    <mergeCell ref="X10:AF10"/>
    <mergeCell ref="AR34:AS34"/>
    <mergeCell ref="A43:E43"/>
    <mergeCell ref="F43:G43"/>
    <mergeCell ref="H43:AF43"/>
    <mergeCell ref="A52:H52"/>
    <mergeCell ref="I52:M52"/>
    <mergeCell ref="N52:X52"/>
    <mergeCell ref="Y52:AF52"/>
    <mergeCell ref="A50:AF50"/>
    <mergeCell ref="I47:P47"/>
    <mergeCell ref="Q47:X47"/>
    <mergeCell ref="Y47:AF47"/>
    <mergeCell ref="A48:AF48"/>
    <mergeCell ref="A49:AF49"/>
    <mergeCell ref="A45:H45"/>
    <mergeCell ref="I45:P45"/>
    <mergeCell ref="Q45:X45"/>
    <mergeCell ref="Y45:AF45"/>
    <mergeCell ref="A46:H46"/>
    <mergeCell ref="I46:P46"/>
    <mergeCell ref="A53:D54"/>
    <mergeCell ref="E53:H54"/>
    <mergeCell ref="I53:P54"/>
    <mergeCell ref="Q53:X53"/>
    <mergeCell ref="Q54:T54"/>
    <mergeCell ref="U54:X54"/>
    <mergeCell ref="A55:D55"/>
    <mergeCell ref="E55:H55"/>
    <mergeCell ref="I55:P55"/>
    <mergeCell ref="Q55:T55"/>
    <mergeCell ref="U55:X55"/>
    <mergeCell ref="Y55:AA55"/>
    <mergeCell ref="AB55:AE55"/>
    <mergeCell ref="A56:D56"/>
    <mergeCell ref="E56:H56"/>
    <mergeCell ref="I56:P56"/>
    <mergeCell ref="Q56:T56"/>
    <mergeCell ref="U56:X56"/>
    <mergeCell ref="Y56:AA56"/>
    <mergeCell ref="AB56:AE56"/>
    <mergeCell ref="A57:D57"/>
    <mergeCell ref="E57:H57"/>
    <mergeCell ref="I57:P57"/>
    <mergeCell ref="Q57:T57"/>
    <mergeCell ref="U57:X57"/>
    <mergeCell ref="Y57:AA57"/>
    <mergeCell ref="AB57:AE57"/>
    <mergeCell ref="A58:D58"/>
    <mergeCell ref="E58:H58"/>
    <mergeCell ref="I58:P58"/>
    <mergeCell ref="Q58:T58"/>
    <mergeCell ref="U58:X58"/>
    <mergeCell ref="Y58:AA58"/>
    <mergeCell ref="AB58:AE58"/>
    <mergeCell ref="A59:D59"/>
    <mergeCell ref="E59:H59"/>
    <mergeCell ref="I59:P59"/>
    <mergeCell ref="Q59:T59"/>
    <mergeCell ref="U59:X59"/>
    <mergeCell ref="Y59:AA59"/>
    <mergeCell ref="AB59:AE59"/>
    <mergeCell ref="A60:D60"/>
    <mergeCell ref="E60:H60"/>
    <mergeCell ref="I60:P60"/>
    <mergeCell ref="Q60:T60"/>
    <mergeCell ref="U60:X60"/>
    <mergeCell ref="Y60:AA60"/>
    <mergeCell ref="AB60:AE60"/>
    <mergeCell ref="A61:D61"/>
    <mergeCell ref="E61:H61"/>
    <mergeCell ref="I61:P61"/>
    <mergeCell ref="Q61:T61"/>
    <mergeCell ref="U61:X61"/>
    <mergeCell ref="Y61:AA61"/>
    <mergeCell ref="AB61:AE61"/>
    <mergeCell ref="A62:D62"/>
    <mergeCell ref="E62:H62"/>
    <mergeCell ref="I62:P62"/>
    <mergeCell ref="Q62:T62"/>
    <mergeCell ref="U62:X62"/>
    <mergeCell ref="Y62:AA62"/>
    <mergeCell ref="AB62:AE62"/>
    <mergeCell ref="A63:D63"/>
    <mergeCell ref="E63:H63"/>
    <mergeCell ref="I63:P63"/>
    <mergeCell ref="Q63:T63"/>
    <mergeCell ref="U63:X63"/>
    <mergeCell ref="Y63:AA63"/>
    <mergeCell ref="AB63:AE63"/>
    <mergeCell ref="A64:D64"/>
    <mergeCell ref="E64:H64"/>
    <mergeCell ref="I64:P64"/>
    <mergeCell ref="Q64:T64"/>
    <mergeCell ref="U64:X64"/>
    <mergeCell ref="Y64:AA64"/>
    <mergeCell ref="AB64:AE64"/>
    <mergeCell ref="A65:D65"/>
    <mergeCell ref="E65:H65"/>
    <mergeCell ref="I65:P65"/>
    <mergeCell ref="Q65:T65"/>
    <mergeCell ref="U65:X65"/>
    <mergeCell ref="Y65:AA65"/>
    <mergeCell ref="AB65:AE65"/>
    <mergeCell ref="A66:D66"/>
    <mergeCell ref="E66:H66"/>
    <mergeCell ref="I66:P66"/>
    <mergeCell ref="Q66:T66"/>
    <mergeCell ref="U66:X66"/>
    <mergeCell ref="Y66:AA66"/>
    <mergeCell ref="AB66:AE66"/>
    <mergeCell ref="A67:D67"/>
    <mergeCell ref="E67:H67"/>
    <mergeCell ref="I67:P67"/>
    <mergeCell ref="Q67:T67"/>
    <mergeCell ref="U67:X67"/>
    <mergeCell ref="Y67:AA67"/>
    <mergeCell ref="AB67:AE67"/>
    <mergeCell ref="A68:D68"/>
    <mergeCell ref="E68:H68"/>
    <mergeCell ref="I68:P68"/>
    <mergeCell ref="Q68:T68"/>
    <mergeCell ref="U68:X68"/>
    <mergeCell ref="Y68:AA68"/>
    <mergeCell ref="AB68:AE68"/>
    <mergeCell ref="A69:D69"/>
    <mergeCell ref="E69:H69"/>
    <mergeCell ref="I69:P69"/>
    <mergeCell ref="Q69:T69"/>
    <mergeCell ref="U69:X69"/>
    <mergeCell ref="Y69:AA69"/>
    <mergeCell ref="AB69:AE69"/>
    <mergeCell ref="A70:D70"/>
    <mergeCell ref="E70:H70"/>
    <mergeCell ref="I70:P70"/>
    <mergeCell ref="Q70:T70"/>
    <mergeCell ref="U70:X70"/>
    <mergeCell ref="Y70:AA70"/>
    <mergeCell ref="AB70:AE70"/>
    <mergeCell ref="A71:D71"/>
    <mergeCell ref="E71:H71"/>
    <mergeCell ref="I71:P71"/>
    <mergeCell ref="Q71:T71"/>
    <mergeCell ref="U71:X71"/>
    <mergeCell ref="Y71:AA71"/>
    <mergeCell ref="AB71:AE71"/>
    <mergeCell ref="A72:D72"/>
    <mergeCell ref="E72:H72"/>
    <mergeCell ref="I72:P72"/>
    <mergeCell ref="Q72:T72"/>
    <mergeCell ref="U72:X72"/>
    <mergeCell ref="Y72:AA72"/>
    <mergeCell ref="AB72:AE72"/>
    <mergeCell ref="A73:D73"/>
    <mergeCell ref="E73:H73"/>
    <mergeCell ref="I73:P73"/>
    <mergeCell ref="Q73:T73"/>
    <mergeCell ref="U73:X73"/>
    <mergeCell ref="Y73:AA73"/>
    <mergeCell ref="AB73:AE73"/>
    <mergeCell ref="A74:D74"/>
    <mergeCell ref="E74:H74"/>
    <mergeCell ref="I74:P74"/>
    <mergeCell ref="Q74:T74"/>
    <mergeCell ref="U74:X74"/>
    <mergeCell ref="Y74:AA74"/>
    <mergeCell ref="AB74:AE74"/>
    <mergeCell ref="A75:D75"/>
    <mergeCell ref="E75:H75"/>
    <mergeCell ref="I75:P75"/>
    <mergeCell ref="Q75:T75"/>
    <mergeCell ref="U75:X75"/>
    <mergeCell ref="Y75:AA75"/>
    <mergeCell ref="AB75:AE75"/>
    <mergeCell ref="A76:D76"/>
    <mergeCell ref="E76:H76"/>
    <mergeCell ref="I76:P76"/>
    <mergeCell ref="Q76:T76"/>
    <mergeCell ref="U76:X76"/>
    <mergeCell ref="Y76:AA76"/>
    <mergeCell ref="AB76:AE76"/>
  </mergeCells>
  <dataValidations count="6">
    <dataValidation type="list" allowBlank="1" showInputMessage="1" showErrorMessage="1" sqref="Y46:AF46">
      <formula1>aprobonombres</formula1>
    </dataValidation>
    <dataValidation type="list" allowBlank="1" showInputMessage="1" showErrorMessage="1" sqref="Q46:X46">
      <formula1>revisonombres</formula1>
    </dataValidation>
    <dataValidation type="list" allowBlank="1" showInputMessage="1" showErrorMessage="1" sqref="I46:P46">
      <formula1>Elaboronombres</formula1>
    </dataValidation>
    <dataValidation type="list" allowBlank="1" showInputMessage="1" showErrorMessage="1" sqref="E7">
      <formula1>$BE$36:$BE$59</formula1>
    </dataValidation>
    <dataValidation type="list" allowBlank="1" showInputMessage="1" showErrorMessage="1" sqref="X10">
      <formula1>$BI$36:$BI$61</formula1>
    </dataValidation>
    <dataValidation type="list" allowBlank="1" showInputMessage="1" showErrorMessage="1" sqref="WXK983051 A65531 KY65547 UU65547 AEQ65547 AOM65547 AYI65547 BIE65547 BSA65547 CBW65547 CLS65547 CVO65547 DFK65547 DPG65547 DZC65547 EIY65547 ESU65547 FCQ65547 FMM65547 FWI65547 GGE65547 GQA65547 GZW65547 HJS65547 HTO65547 IDK65547 ING65547 IXC65547 JGY65547 JQU65547 KAQ65547 KKM65547 KUI65547 LEE65547 LOA65547 LXW65547 MHS65547 MRO65547 NBK65547 NLG65547 NVC65547 OEY65547 OOU65547 OYQ65547 PIM65547 PSI65547 QCE65547 QMA65547 QVW65547 RFS65547 RPO65547 RZK65547 SJG65547 STC65547 TCY65547 TMU65547 TWQ65547 UGM65547 UQI65547 VAE65547 VKA65547 VTW65547 WDS65547 WNO65547 WXK65547 A131067 KY131083 UU131083 AEQ131083 AOM131083 AYI131083 BIE131083 BSA131083 CBW131083 CLS131083 CVO131083 DFK131083 DPG131083 DZC131083 EIY131083 ESU131083 FCQ131083 FMM131083 FWI131083 GGE131083 GQA131083 GZW131083 HJS131083 HTO131083 IDK131083 ING131083 IXC131083 JGY131083 JQU131083 KAQ131083 KKM131083 KUI131083 LEE131083 LOA131083 LXW131083 MHS131083 MRO131083 NBK131083 NLG131083 NVC131083 OEY131083 OOU131083 OYQ131083 PIM131083 PSI131083 QCE131083 QMA131083 QVW131083 RFS131083 RPO131083 RZK131083 SJG131083 STC131083 TCY131083 TMU131083 TWQ131083 UGM131083 UQI131083 VAE131083 VKA131083 VTW131083 WDS131083 WNO131083 WXK131083 A196603 KY196619 UU196619 AEQ196619 AOM196619 AYI196619 BIE196619 BSA196619 CBW196619 CLS196619 CVO196619 DFK196619 DPG196619 DZC196619 EIY196619 ESU196619 FCQ196619 FMM196619 FWI196619 GGE196619 GQA196619 GZW196619 HJS196619 HTO196619 IDK196619 ING196619 IXC196619 JGY196619 JQU196619 KAQ196619 KKM196619 KUI196619 LEE196619 LOA196619 LXW196619 MHS196619 MRO196619 NBK196619 NLG196619 NVC196619 OEY196619 OOU196619 OYQ196619 PIM196619 PSI196619 QCE196619 QMA196619 QVW196619 RFS196619 RPO196619 RZK196619 SJG196619 STC196619 TCY196619 TMU196619 TWQ196619 UGM196619 UQI196619 VAE196619 VKA196619 VTW196619 WDS196619 WNO196619 WXK196619 A262139 KY262155 UU262155 AEQ262155 AOM262155 AYI262155 BIE262155 BSA262155 CBW262155 CLS262155 CVO262155 DFK262155 DPG262155 DZC262155 EIY262155 ESU262155 FCQ262155 FMM262155 FWI262155 GGE262155 GQA262155 GZW262155 HJS262155 HTO262155 IDK262155 ING262155 IXC262155 JGY262155 JQU262155 KAQ262155 KKM262155 KUI262155 LEE262155 LOA262155 LXW262155 MHS262155 MRO262155 NBK262155 NLG262155 NVC262155 OEY262155 OOU262155 OYQ262155 PIM262155 PSI262155 QCE262155 QMA262155 QVW262155 RFS262155 RPO262155 RZK262155 SJG262155 STC262155 TCY262155 TMU262155 TWQ262155 UGM262155 UQI262155 VAE262155 VKA262155 VTW262155 WDS262155 WNO262155 WXK262155 A327675 KY327691 UU327691 AEQ327691 AOM327691 AYI327691 BIE327691 BSA327691 CBW327691 CLS327691 CVO327691 DFK327691 DPG327691 DZC327691 EIY327691 ESU327691 FCQ327691 FMM327691 FWI327691 GGE327691 GQA327691 GZW327691 HJS327691 HTO327691 IDK327691 ING327691 IXC327691 JGY327691 JQU327691 KAQ327691 KKM327691 KUI327691 LEE327691 LOA327691 LXW327691 MHS327691 MRO327691 NBK327691 NLG327691 NVC327691 OEY327691 OOU327691 OYQ327691 PIM327691 PSI327691 QCE327691 QMA327691 QVW327691 RFS327691 RPO327691 RZK327691 SJG327691 STC327691 TCY327691 TMU327691 TWQ327691 UGM327691 UQI327691 VAE327691 VKA327691 VTW327691 WDS327691 WNO327691 WXK327691 A393211 KY393227 UU393227 AEQ393227 AOM393227 AYI393227 BIE393227 BSA393227 CBW393227 CLS393227 CVO393227 DFK393227 DPG393227 DZC393227 EIY393227 ESU393227 FCQ393227 FMM393227 FWI393227 GGE393227 GQA393227 GZW393227 HJS393227 HTO393227 IDK393227 ING393227 IXC393227 JGY393227 JQU393227 KAQ393227 KKM393227 KUI393227 LEE393227 LOA393227 LXW393227 MHS393227 MRO393227 NBK393227 NLG393227 NVC393227 OEY393227 OOU393227 OYQ393227 PIM393227 PSI393227 QCE393227 QMA393227 QVW393227 RFS393227 RPO393227 RZK393227 SJG393227 STC393227 TCY393227 TMU393227 TWQ393227 UGM393227 UQI393227 VAE393227 VKA393227 VTW393227 WDS393227 WNO393227 WXK393227 A458747 KY458763 UU458763 AEQ458763 AOM458763 AYI458763 BIE458763 BSA458763 CBW458763 CLS458763 CVO458763 DFK458763 DPG458763 DZC458763 EIY458763 ESU458763 FCQ458763 FMM458763 FWI458763 GGE458763 GQA458763 GZW458763 HJS458763 HTO458763 IDK458763 ING458763 IXC458763 JGY458763 JQU458763 KAQ458763 KKM458763 KUI458763 LEE458763 LOA458763 LXW458763 MHS458763 MRO458763 NBK458763 NLG458763 NVC458763 OEY458763 OOU458763 OYQ458763 PIM458763 PSI458763 QCE458763 QMA458763 QVW458763 RFS458763 RPO458763 RZK458763 SJG458763 STC458763 TCY458763 TMU458763 TWQ458763 UGM458763 UQI458763 VAE458763 VKA458763 VTW458763 WDS458763 WNO458763 WXK458763 A524283 KY524299 UU524299 AEQ524299 AOM524299 AYI524299 BIE524299 BSA524299 CBW524299 CLS524299 CVO524299 DFK524299 DPG524299 DZC524299 EIY524299 ESU524299 FCQ524299 FMM524299 FWI524299 GGE524299 GQA524299 GZW524299 HJS524299 HTO524299 IDK524299 ING524299 IXC524299 JGY524299 JQU524299 KAQ524299 KKM524299 KUI524299 LEE524299 LOA524299 LXW524299 MHS524299 MRO524299 NBK524299 NLG524299 NVC524299 OEY524299 OOU524299 OYQ524299 PIM524299 PSI524299 QCE524299 QMA524299 QVW524299 RFS524299 RPO524299 RZK524299 SJG524299 STC524299 TCY524299 TMU524299 TWQ524299 UGM524299 UQI524299 VAE524299 VKA524299 VTW524299 WDS524299 WNO524299 WXK524299 A589819 KY589835 UU589835 AEQ589835 AOM589835 AYI589835 BIE589835 BSA589835 CBW589835 CLS589835 CVO589835 DFK589835 DPG589835 DZC589835 EIY589835 ESU589835 FCQ589835 FMM589835 FWI589835 GGE589835 GQA589835 GZW589835 HJS589835 HTO589835 IDK589835 ING589835 IXC589835 JGY589835 JQU589835 KAQ589835 KKM589835 KUI589835 LEE589835 LOA589835 LXW589835 MHS589835 MRO589835 NBK589835 NLG589835 NVC589835 OEY589835 OOU589835 OYQ589835 PIM589835 PSI589835 QCE589835 QMA589835 QVW589835 RFS589835 RPO589835 RZK589835 SJG589835 STC589835 TCY589835 TMU589835 TWQ589835 UGM589835 UQI589835 VAE589835 VKA589835 VTW589835 WDS589835 WNO589835 WXK589835 A655355 KY655371 UU655371 AEQ655371 AOM655371 AYI655371 BIE655371 BSA655371 CBW655371 CLS655371 CVO655371 DFK655371 DPG655371 DZC655371 EIY655371 ESU655371 FCQ655371 FMM655371 FWI655371 GGE655371 GQA655371 GZW655371 HJS655371 HTO655371 IDK655371 ING655371 IXC655371 JGY655371 JQU655371 KAQ655371 KKM655371 KUI655371 LEE655371 LOA655371 LXW655371 MHS655371 MRO655371 NBK655371 NLG655371 NVC655371 OEY655371 OOU655371 OYQ655371 PIM655371 PSI655371 QCE655371 QMA655371 QVW655371 RFS655371 RPO655371 RZK655371 SJG655371 STC655371 TCY655371 TMU655371 TWQ655371 UGM655371 UQI655371 VAE655371 VKA655371 VTW655371 WDS655371 WNO655371 WXK655371 A720891 KY720907 UU720907 AEQ720907 AOM720907 AYI720907 BIE720907 BSA720907 CBW720907 CLS720907 CVO720907 DFK720907 DPG720907 DZC720907 EIY720907 ESU720907 FCQ720907 FMM720907 FWI720907 GGE720907 GQA720907 GZW720907 HJS720907 HTO720907 IDK720907 ING720907 IXC720907 JGY720907 JQU720907 KAQ720907 KKM720907 KUI720907 LEE720907 LOA720907 LXW720907 MHS720907 MRO720907 NBK720907 NLG720907 NVC720907 OEY720907 OOU720907 OYQ720907 PIM720907 PSI720907 QCE720907 QMA720907 QVW720907 RFS720907 RPO720907 RZK720907 SJG720907 STC720907 TCY720907 TMU720907 TWQ720907 UGM720907 UQI720907 VAE720907 VKA720907 VTW720907 WDS720907 WNO720907 WXK720907 A786427 KY786443 UU786443 AEQ786443 AOM786443 AYI786443 BIE786443 BSA786443 CBW786443 CLS786443 CVO786443 DFK786443 DPG786443 DZC786443 EIY786443 ESU786443 FCQ786443 FMM786443 FWI786443 GGE786443 GQA786443 GZW786443 HJS786443 HTO786443 IDK786443 ING786443 IXC786443 JGY786443 JQU786443 KAQ786443 KKM786443 KUI786443 LEE786443 LOA786443 LXW786443 MHS786443 MRO786443 NBK786443 NLG786443 NVC786443 OEY786443 OOU786443 OYQ786443 PIM786443 PSI786443 QCE786443 QMA786443 QVW786443 RFS786443 RPO786443 RZK786443 SJG786443 STC786443 TCY786443 TMU786443 TWQ786443 UGM786443 UQI786443 VAE786443 VKA786443 VTW786443 WDS786443 WNO786443 WXK786443 A851963 KY851979 UU851979 AEQ851979 AOM851979 AYI851979 BIE851979 BSA851979 CBW851979 CLS851979 CVO851979 DFK851979 DPG851979 DZC851979 EIY851979 ESU851979 FCQ851979 FMM851979 FWI851979 GGE851979 GQA851979 GZW851979 HJS851979 HTO851979 IDK851979 ING851979 IXC851979 JGY851979 JQU851979 KAQ851979 KKM851979 KUI851979 LEE851979 LOA851979 LXW851979 MHS851979 MRO851979 NBK851979 NLG851979 NVC851979 OEY851979 OOU851979 OYQ851979 PIM851979 PSI851979 QCE851979 QMA851979 QVW851979 RFS851979 RPO851979 RZK851979 SJG851979 STC851979 TCY851979 TMU851979 TWQ851979 UGM851979 UQI851979 VAE851979 VKA851979 VTW851979 WDS851979 WNO851979 WXK851979 A917499 KY917515 UU917515 AEQ917515 AOM917515 AYI917515 BIE917515 BSA917515 CBW917515 CLS917515 CVO917515 DFK917515 DPG917515 DZC917515 EIY917515 ESU917515 FCQ917515 FMM917515 FWI917515 GGE917515 GQA917515 GZW917515 HJS917515 HTO917515 IDK917515 ING917515 IXC917515 JGY917515 JQU917515 KAQ917515 KKM917515 KUI917515 LEE917515 LOA917515 LXW917515 MHS917515 MRO917515 NBK917515 NLG917515 NVC917515 OEY917515 OOU917515 OYQ917515 PIM917515 PSI917515 QCE917515 QMA917515 QVW917515 RFS917515 RPO917515 RZK917515 SJG917515 STC917515 TCY917515 TMU917515 TWQ917515 UGM917515 UQI917515 VAE917515 VKA917515 VTW917515 WDS917515 WNO917515 WXK917515 A983035 KY983051 UU983051 AEQ983051 AOM983051 AYI983051 BIE983051 BSA983051 CBW983051 CLS983051 CVO983051 DFK983051 DPG983051 DZC983051 EIY983051 ESU983051 FCQ983051 FMM983051 FWI983051 GGE983051 GQA983051 GZW983051 HJS983051 HTO983051 IDK983051 ING983051 IXC983051 JGY983051 JQU983051 KAQ983051 KKM983051 KUI983051 LEE983051 LOA983051 LXW983051 MHS983051 MRO983051 NBK983051 NLG983051 NVC983051 OEY983051 OOU983051 OYQ983051 PIM983051 PSI983051 QCE983051 QMA983051 QVW983051 RFS983051 RPO983051 RZK983051 SJG983051 STC983051 TCY983051 TMU983051 TWQ983051 UGM983051 UQI983051 VAE983051 VKA983051 VTW983051 WDS983051 WNO983051 WXK6 WNO6 WDS6 VTW6 VKA6 VAE6 UQI6 UGM6 TWQ6 TMU6 TCY6 STC6 SJG6 RZK6 RPO6 RFS6 QVW6 QMA6 QCE6 PSI6 PIM6 OYQ6 OOU6 OEY6 NVC6 NLG6 NBK6 MRO6 MHS6 LXW6 LOA6 LEE6 KUI6 KKM6 KAQ6 JQU6 JGY6 IXC6 ING6 IDK6 HTO6 HJS6 GZW6 GQA6 GGE6 FWI6 FMM6 FCQ6 ESU6 EIY6 DZC6 DPG6 DFK6 CVO6 CLS6 CBW6 BSA6 BIE6 AYI6 AOM6 AEQ6 UU6 KY6">
      <formula1>#REF!</formula1>
    </dataValidation>
  </dataValidations>
  <printOptions horizontalCentered="1"/>
  <pageMargins left="0.59055118110236227" right="0.19685039370078741" top="0" bottom="0" header="0" footer="0.39370078740157483"/>
  <pageSetup orientation="portrait" horizontalDpi="4294967295" verticalDpi="4294967295" r:id="rId1"/>
  <headerFooter scaleWithDoc="0">
    <oddHeader xml:space="preserve">&amp;L&amp;"Eurostile Extended,Regular Negrita"&amp;16
</oddHeader>
    <oddFooter>&amp;L&amp;6Calle 26 No. 57-41 Torre 8 Pisos 7-8 CEMSA - CP: 1113111            
Pbx: 3779555  - Información: Línea 195     
www.umv.gov.co111311&amp;C&amp;6GLAB-FM-013
Página 1 de 1</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BO117"/>
  <sheetViews>
    <sheetView showGridLines="0" view="pageBreakPreview" topLeftCell="AH28" zoomScaleSheetLayoutView="100" workbookViewId="0">
      <selection activeCell="F28" sqref="C28:H28"/>
    </sheetView>
  </sheetViews>
  <sheetFormatPr baseColWidth="10" defaultRowHeight="12.75"/>
  <cols>
    <col min="1" max="12" width="2.7109375" style="241" customWidth="1"/>
    <col min="13" max="14" width="6.140625" style="241" customWidth="1"/>
    <col min="15" max="17" width="2.7109375" style="241" customWidth="1"/>
    <col min="18" max="23" width="2.7109375" style="308" customWidth="1"/>
    <col min="24" max="24" width="14.7109375" style="308" customWidth="1"/>
    <col min="25" max="25" width="6.28515625" style="308" customWidth="1"/>
    <col min="26" max="32" width="2.7109375" style="308" customWidth="1"/>
    <col min="33" max="35" width="2.7109375" style="241" customWidth="1"/>
    <col min="36" max="36" width="2.7109375" style="310" customWidth="1"/>
    <col min="37" max="37" width="20.5703125" style="241" customWidth="1"/>
    <col min="38" max="38" width="12.7109375" style="241" customWidth="1"/>
    <col min="39" max="39" width="13.42578125" style="241" customWidth="1"/>
    <col min="40" max="40" width="14.28515625" style="241" customWidth="1"/>
    <col min="41" max="41" width="12.5703125" style="241" customWidth="1"/>
    <col min="42" max="42" width="12.7109375" style="241" customWidth="1"/>
    <col min="43" max="43" width="11.42578125" style="241" customWidth="1"/>
    <col min="44" max="44" width="13.28515625" style="619" customWidth="1"/>
    <col min="45" max="45" width="8.7109375" style="498" customWidth="1"/>
    <col min="46" max="46" width="4.7109375" style="498" customWidth="1"/>
    <col min="47" max="48" width="10.28515625" style="498" customWidth="1"/>
    <col min="49" max="49" width="16.7109375" style="498" customWidth="1"/>
    <col min="50" max="51" width="8.7109375" style="498" customWidth="1"/>
    <col min="52" max="52" width="16.7109375" style="498" customWidth="1"/>
    <col min="53" max="53" width="16.28515625" style="248" customWidth="1"/>
    <col min="54" max="258" width="11.42578125" style="241"/>
    <col min="259" max="270" width="2.7109375" style="241" customWidth="1"/>
    <col min="271" max="272" width="6.140625" style="241" customWidth="1"/>
    <col min="273" max="281" width="2.7109375" style="241" customWidth="1"/>
    <col min="282" max="282" width="14.7109375" style="241" customWidth="1"/>
    <col min="283" max="283" width="6.28515625" style="241" customWidth="1"/>
    <col min="284" max="294" width="2.7109375" style="241" customWidth="1"/>
    <col min="295" max="295" width="25.42578125" style="241" customWidth="1"/>
    <col min="296" max="296" width="17.85546875" style="241" customWidth="1"/>
    <col min="297" max="297" width="15.85546875" style="241" customWidth="1"/>
    <col min="298" max="298" width="14.7109375" style="241" customWidth="1"/>
    <col min="299" max="299" width="15.85546875" style="241" customWidth="1"/>
    <col min="300" max="300" width="15" style="241" customWidth="1"/>
    <col min="301" max="301" width="18.140625" style="241" customWidth="1"/>
    <col min="302" max="302" width="22.42578125" style="241" customWidth="1"/>
    <col min="303" max="303" width="23.7109375" style="241" customWidth="1"/>
    <col min="304" max="304" width="14" style="241" customWidth="1"/>
    <col min="305" max="305" width="15" style="241" customWidth="1"/>
    <col min="306" max="306" width="21.28515625" style="241" customWidth="1"/>
    <col min="307" max="307" width="15.85546875" style="241" customWidth="1"/>
    <col min="308" max="308" width="18.28515625" style="241" customWidth="1"/>
    <col min="309" max="309" width="16.28515625" style="241" customWidth="1"/>
    <col min="310" max="514" width="11.42578125" style="241"/>
    <col min="515" max="526" width="2.7109375" style="241" customWidth="1"/>
    <col min="527" max="528" width="6.140625" style="241" customWidth="1"/>
    <col min="529" max="537" width="2.7109375" style="241" customWidth="1"/>
    <col min="538" max="538" width="14.7109375" style="241" customWidth="1"/>
    <col min="539" max="539" width="6.28515625" style="241" customWidth="1"/>
    <col min="540" max="550" width="2.7109375" style="241" customWidth="1"/>
    <col min="551" max="551" width="25.42578125" style="241" customWidth="1"/>
    <col min="552" max="552" width="17.85546875" style="241" customWidth="1"/>
    <col min="553" max="553" width="15.85546875" style="241" customWidth="1"/>
    <col min="554" max="554" width="14.7109375" style="241" customWidth="1"/>
    <col min="555" max="555" width="15.85546875" style="241" customWidth="1"/>
    <col min="556" max="556" width="15" style="241" customWidth="1"/>
    <col min="557" max="557" width="18.140625" style="241" customWidth="1"/>
    <col min="558" max="558" width="22.42578125" style="241" customWidth="1"/>
    <col min="559" max="559" width="23.7109375" style="241" customWidth="1"/>
    <col min="560" max="560" width="14" style="241" customWidth="1"/>
    <col min="561" max="561" width="15" style="241" customWidth="1"/>
    <col min="562" max="562" width="21.28515625" style="241" customWidth="1"/>
    <col min="563" max="563" width="15.85546875" style="241" customWidth="1"/>
    <col min="564" max="564" width="18.28515625" style="241" customWidth="1"/>
    <col min="565" max="565" width="16.28515625" style="241" customWidth="1"/>
    <col min="566" max="770" width="11.42578125" style="241"/>
    <col min="771" max="782" width="2.7109375" style="241" customWidth="1"/>
    <col min="783" max="784" width="6.140625" style="241" customWidth="1"/>
    <col min="785" max="793" width="2.7109375" style="241" customWidth="1"/>
    <col min="794" max="794" width="14.7109375" style="241" customWidth="1"/>
    <col min="795" max="795" width="6.28515625" style="241" customWidth="1"/>
    <col min="796" max="806" width="2.7109375" style="241" customWidth="1"/>
    <col min="807" max="807" width="25.42578125" style="241" customWidth="1"/>
    <col min="808" max="808" width="17.85546875" style="241" customWidth="1"/>
    <col min="809" max="809" width="15.85546875" style="241" customWidth="1"/>
    <col min="810" max="810" width="14.7109375" style="241" customWidth="1"/>
    <col min="811" max="811" width="15.85546875" style="241" customWidth="1"/>
    <col min="812" max="812" width="15" style="241" customWidth="1"/>
    <col min="813" max="813" width="18.140625" style="241" customWidth="1"/>
    <col min="814" max="814" width="22.42578125" style="241" customWidth="1"/>
    <col min="815" max="815" width="23.7109375" style="241" customWidth="1"/>
    <col min="816" max="816" width="14" style="241" customWidth="1"/>
    <col min="817" max="817" width="15" style="241" customWidth="1"/>
    <col min="818" max="818" width="21.28515625" style="241" customWidth="1"/>
    <col min="819" max="819" width="15.85546875" style="241" customWidth="1"/>
    <col min="820" max="820" width="18.28515625" style="241" customWidth="1"/>
    <col min="821" max="821" width="16.28515625" style="241" customWidth="1"/>
    <col min="822" max="1026" width="11.42578125" style="241"/>
    <col min="1027" max="1038" width="2.7109375" style="241" customWidth="1"/>
    <col min="1039" max="1040" width="6.140625" style="241" customWidth="1"/>
    <col min="1041" max="1049" width="2.7109375" style="241" customWidth="1"/>
    <col min="1050" max="1050" width="14.7109375" style="241" customWidth="1"/>
    <col min="1051" max="1051" width="6.28515625" style="241" customWidth="1"/>
    <col min="1052" max="1062" width="2.7109375" style="241" customWidth="1"/>
    <col min="1063" max="1063" width="25.42578125" style="241" customWidth="1"/>
    <col min="1064" max="1064" width="17.85546875" style="241" customWidth="1"/>
    <col min="1065" max="1065" width="15.85546875" style="241" customWidth="1"/>
    <col min="1066" max="1066" width="14.7109375" style="241" customWidth="1"/>
    <col min="1067" max="1067" width="15.85546875" style="241" customWidth="1"/>
    <col min="1068" max="1068" width="15" style="241" customWidth="1"/>
    <col min="1069" max="1069" width="18.140625" style="241" customWidth="1"/>
    <col min="1070" max="1070" width="22.42578125" style="241" customWidth="1"/>
    <col min="1071" max="1071" width="23.7109375" style="241" customWidth="1"/>
    <col min="1072" max="1072" width="14" style="241" customWidth="1"/>
    <col min="1073" max="1073" width="15" style="241" customWidth="1"/>
    <col min="1074" max="1074" width="21.28515625" style="241" customWidth="1"/>
    <col min="1075" max="1075" width="15.85546875" style="241" customWidth="1"/>
    <col min="1076" max="1076" width="18.28515625" style="241" customWidth="1"/>
    <col min="1077" max="1077" width="16.28515625" style="241" customWidth="1"/>
    <col min="1078" max="1282" width="11.42578125" style="241"/>
    <col min="1283" max="1294" width="2.7109375" style="241" customWidth="1"/>
    <col min="1295" max="1296" width="6.140625" style="241" customWidth="1"/>
    <col min="1297" max="1305" width="2.7109375" style="241" customWidth="1"/>
    <col min="1306" max="1306" width="14.7109375" style="241" customWidth="1"/>
    <col min="1307" max="1307" width="6.28515625" style="241" customWidth="1"/>
    <col min="1308" max="1318" width="2.7109375" style="241" customWidth="1"/>
    <col min="1319" max="1319" width="25.42578125" style="241" customWidth="1"/>
    <col min="1320" max="1320" width="17.85546875" style="241" customWidth="1"/>
    <col min="1321" max="1321" width="15.85546875" style="241" customWidth="1"/>
    <col min="1322" max="1322" width="14.7109375" style="241" customWidth="1"/>
    <col min="1323" max="1323" width="15.85546875" style="241" customWidth="1"/>
    <col min="1324" max="1324" width="15" style="241" customWidth="1"/>
    <col min="1325" max="1325" width="18.140625" style="241" customWidth="1"/>
    <col min="1326" max="1326" width="22.42578125" style="241" customWidth="1"/>
    <col min="1327" max="1327" width="23.7109375" style="241" customWidth="1"/>
    <col min="1328" max="1328" width="14" style="241" customWidth="1"/>
    <col min="1329" max="1329" width="15" style="241" customWidth="1"/>
    <col min="1330" max="1330" width="21.28515625" style="241" customWidth="1"/>
    <col min="1331" max="1331" width="15.85546875" style="241" customWidth="1"/>
    <col min="1332" max="1332" width="18.28515625" style="241" customWidth="1"/>
    <col min="1333" max="1333" width="16.28515625" style="241" customWidth="1"/>
    <col min="1334" max="1538" width="11.42578125" style="241"/>
    <col min="1539" max="1550" width="2.7109375" style="241" customWidth="1"/>
    <col min="1551" max="1552" width="6.140625" style="241" customWidth="1"/>
    <col min="1553" max="1561" width="2.7109375" style="241" customWidth="1"/>
    <col min="1562" max="1562" width="14.7109375" style="241" customWidth="1"/>
    <col min="1563" max="1563" width="6.28515625" style="241" customWidth="1"/>
    <col min="1564" max="1574" width="2.7109375" style="241" customWidth="1"/>
    <col min="1575" max="1575" width="25.42578125" style="241" customWidth="1"/>
    <col min="1576" max="1576" width="17.85546875" style="241" customWidth="1"/>
    <col min="1577" max="1577" width="15.85546875" style="241" customWidth="1"/>
    <col min="1578" max="1578" width="14.7109375" style="241" customWidth="1"/>
    <col min="1579" max="1579" width="15.85546875" style="241" customWidth="1"/>
    <col min="1580" max="1580" width="15" style="241" customWidth="1"/>
    <col min="1581" max="1581" width="18.140625" style="241" customWidth="1"/>
    <col min="1582" max="1582" width="22.42578125" style="241" customWidth="1"/>
    <col min="1583" max="1583" width="23.7109375" style="241" customWidth="1"/>
    <col min="1584" max="1584" width="14" style="241" customWidth="1"/>
    <col min="1585" max="1585" width="15" style="241" customWidth="1"/>
    <col min="1586" max="1586" width="21.28515625" style="241" customWidth="1"/>
    <col min="1587" max="1587" width="15.85546875" style="241" customWidth="1"/>
    <col min="1588" max="1588" width="18.28515625" style="241" customWidth="1"/>
    <col min="1589" max="1589" width="16.28515625" style="241" customWidth="1"/>
    <col min="1590" max="1794" width="11.42578125" style="241"/>
    <col min="1795" max="1806" width="2.7109375" style="241" customWidth="1"/>
    <col min="1807" max="1808" width="6.140625" style="241" customWidth="1"/>
    <col min="1809" max="1817" width="2.7109375" style="241" customWidth="1"/>
    <col min="1818" max="1818" width="14.7109375" style="241" customWidth="1"/>
    <col min="1819" max="1819" width="6.28515625" style="241" customWidth="1"/>
    <col min="1820" max="1830" width="2.7109375" style="241" customWidth="1"/>
    <col min="1831" max="1831" width="25.42578125" style="241" customWidth="1"/>
    <col min="1832" max="1832" width="17.85546875" style="241" customWidth="1"/>
    <col min="1833" max="1833" width="15.85546875" style="241" customWidth="1"/>
    <col min="1834" max="1834" width="14.7109375" style="241" customWidth="1"/>
    <col min="1835" max="1835" width="15.85546875" style="241" customWidth="1"/>
    <col min="1836" max="1836" width="15" style="241" customWidth="1"/>
    <col min="1837" max="1837" width="18.140625" style="241" customWidth="1"/>
    <col min="1838" max="1838" width="22.42578125" style="241" customWidth="1"/>
    <col min="1839" max="1839" width="23.7109375" style="241" customWidth="1"/>
    <col min="1840" max="1840" width="14" style="241" customWidth="1"/>
    <col min="1841" max="1841" width="15" style="241" customWidth="1"/>
    <col min="1842" max="1842" width="21.28515625" style="241" customWidth="1"/>
    <col min="1843" max="1843" width="15.85546875" style="241" customWidth="1"/>
    <col min="1844" max="1844" width="18.28515625" style="241" customWidth="1"/>
    <col min="1845" max="1845" width="16.28515625" style="241" customWidth="1"/>
    <col min="1846" max="2050" width="11.42578125" style="241"/>
    <col min="2051" max="2062" width="2.7109375" style="241" customWidth="1"/>
    <col min="2063" max="2064" width="6.140625" style="241" customWidth="1"/>
    <col min="2065" max="2073" width="2.7109375" style="241" customWidth="1"/>
    <col min="2074" max="2074" width="14.7109375" style="241" customWidth="1"/>
    <col min="2075" max="2075" width="6.28515625" style="241" customWidth="1"/>
    <col min="2076" max="2086" width="2.7109375" style="241" customWidth="1"/>
    <col min="2087" max="2087" width="25.42578125" style="241" customWidth="1"/>
    <col min="2088" max="2088" width="17.85546875" style="241" customWidth="1"/>
    <col min="2089" max="2089" width="15.85546875" style="241" customWidth="1"/>
    <col min="2090" max="2090" width="14.7109375" style="241" customWidth="1"/>
    <col min="2091" max="2091" width="15.85546875" style="241" customWidth="1"/>
    <col min="2092" max="2092" width="15" style="241" customWidth="1"/>
    <col min="2093" max="2093" width="18.140625" style="241" customWidth="1"/>
    <col min="2094" max="2094" width="22.42578125" style="241" customWidth="1"/>
    <col min="2095" max="2095" width="23.7109375" style="241" customWidth="1"/>
    <col min="2096" max="2096" width="14" style="241" customWidth="1"/>
    <col min="2097" max="2097" width="15" style="241" customWidth="1"/>
    <col min="2098" max="2098" width="21.28515625" style="241" customWidth="1"/>
    <col min="2099" max="2099" width="15.85546875" style="241" customWidth="1"/>
    <col min="2100" max="2100" width="18.28515625" style="241" customWidth="1"/>
    <col min="2101" max="2101" width="16.28515625" style="241" customWidth="1"/>
    <col min="2102" max="2306" width="11.42578125" style="241"/>
    <col min="2307" max="2318" width="2.7109375" style="241" customWidth="1"/>
    <col min="2319" max="2320" width="6.140625" style="241" customWidth="1"/>
    <col min="2321" max="2329" width="2.7109375" style="241" customWidth="1"/>
    <col min="2330" max="2330" width="14.7109375" style="241" customWidth="1"/>
    <col min="2331" max="2331" width="6.28515625" style="241" customWidth="1"/>
    <col min="2332" max="2342" width="2.7109375" style="241" customWidth="1"/>
    <col min="2343" max="2343" width="25.42578125" style="241" customWidth="1"/>
    <col min="2344" max="2344" width="17.85546875" style="241" customWidth="1"/>
    <col min="2345" max="2345" width="15.85546875" style="241" customWidth="1"/>
    <col min="2346" max="2346" width="14.7109375" style="241" customWidth="1"/>
    <col min="2347" max="2347" width="15.85546875" style="241" customWidth="1"/>
    <col min="2348" max="2348" width="15" style="241" customWidth="1"/>
    <col min="2349" max="2349" width="18.140625" style="241" customWidth="1"/>
    <col min="2350" max="2350" width="22.42578125" style="241" customWidth="1"/>
    <col min="2351" max="2351" width="23.7109375" style="241" customWidth="1"/>
    <col min="2352" max="2352" width="14" style="241" customWidth="1"/>
    <col min="2353" max="2353" width="15" style="241" customWidth="1"/>
    <col min="2354" max="2354" width="21.28515625" style="241" customWidth="1"/>
    <col min="2355" max="2355" width="15.85546875" style="241" customWidth="1"/>
    <col min="2356" max="2356" width="18.28515625" style="241" customWidth="1"/>
    <col min="2357" max="2357" width="16.28515625" style="241" customWidth="1"/>
    <col min="2358" max="2562" width="11.42578125" style="241"/>
    <col min="2563" max="2574" width="2.7109375" style="241" customWidth="1"/>
    <col min="2575" max="2576" width="6.140625" style="241" customWidth="1"/>
    <col min="2577" max="2585" width="2.7109375" style="241" customWidth="1"/>
    <col min="2586" max="2586" width="14.7109375" style="241" customWidth="1"/>
    <col min="2587" max="2587" width="6.28515625" style="241" customWidth="1"/>
    <col min="2588" max="2598" width="2.7109375" style="241" customWidth="1"/>
    <col min="2599" max="2599" width="25.42578125" style="241" customWidth="1"/>
    <col min="2600" max="2600" width="17.85546875" style="241" customWidth="1"/>
    <col min="2601" max="2601" width="15.85546875" style="241" customWidth="1"/>
    <col min="2602" max="2602" width="14.7109375" style="241" customWidth="1"/>
    <col min="2603" max="2603" width="15.85546875" style="241" customWidth="1"/>
    <col min="2604" max="2604" width="15" style="241" customWidth="1"/>
    <col min="2605" max="2605" width="18.140625" style="241" customWidth="1"/>
    <col min="2606" max="2606" width="22.42578125" style="241" customWidth="1"/>
    <col min="2607" max="2607" width="23.7109375" style="241" customWidth="1"/>
    <col min="2608" max="2608" width="14" style="241" customWidth="1"/>
    <col min="2609" max="2609" width="15" style="241" customWidth="1"/>
    <col min="2610" max="2610" width="21.28515625" style="241" customWidth="1"/>
    <col min="2611" max="2611" width="15.85546875" style="241" customWidth="1"/>
    <col min="2612" max="2612" width="18.28515625" style="241" customWidth="1"/>
    <col min="2613" max="2613" width="16.28515625" style="241" customWidth="1"/>
    <col min="2614" max="2818" width="11.42578125" style="241"/>
    <col min="2819" max="2830" width="2.7109375" style="241" customWidth="1"/>
    <col min="2831" max="2832" width="6.140625" style="241" customWidth="1"/>
    <col min="2833" max="2841" width="2.7109375" style="241" customWidth="1"/>
    <col min="2842" max="2842" width="14.7109375" style="241" customWidth="1"/>
    <col min="2843" max="2843" width="6.28515625" style="241" customWidth="1"/>
    <col min="2844" max="2854" width="2.7109375" style="241" customWidth="1"/>
    <col min="2855" max="2855" width="25.42578125" style="241" customWidth="1"/>
    <col min="2856" max="2856" width="17.85546875" style="241" customWidth="1"/>
    <col min="2857" max="2857" width="15.85546875" style="241" customWidth="1"/>
    <col min="2858" max="2858" width="14.7109375" style="241" customWidth="1"/>
    <col min="2859" max="2859" width="15.85546875" style="241" customWidth="1"/>
    <col min="2860" max="2860" width="15" style="241" customWidth="1"/>
    <col min="2861" max="2861" width="18.140625" style="241" customWidth="1"/>
    <col min="2862" max="2862" width="22.42578125" style="241" customWidth="1"/>
    <col min="2863" max="2863" width="23.7109375" style="241" customWidth="1"/>
    <col min="2864" max="2864" width="14" style="241" customWidth="1"/>
    <col min="2865" max="2865" width="15" style="241" customWidth="1"/>
    <col min="2866" max="2866" width="21.28515625" style="241" customWidth="1"/>
    <col min="2867" max="2867" width="15.85546875" style="241" customWidth="1"/>
    <col min="2868" max="2868" width="18.28515625" style="241" customWidth="1"/>
    <col min="2869" max="2869" width="16.28515625" style="241" customWidth="1"/>
    <col min="2870" max="3074" width="11.42578125" style="241"/>
    <col min="3075" max="3086" width="2.7109375" style="241" customWidth="1"/>
    <col min="3087" max="3088" width="6.140625" style="241" customWidth="1"/>
    <col min="3089" max="3097" width="2.7109375" style="241" customWidth="1"/>
    <col min="3098" max="3098" width="14.7109375" style="241" customWidth="1"/>
    <col min="3099" max="3099" width="6.28515625" style="241" customWidth="1"/>
    <col min="3100" max="3110" width="2.7109375" style="241" customWidth="1"/>
    <col min="3111" max="3111" width="25.42578125" style="241" customWidth="1"/>
    <col min="3112" max="3112" width="17.85546875" style="241" customWidth="1"/>
    <col min="3113" max="3113" width="15.85546875" style="241" customWidth="1"/>
    <col min="3114" max="3114" width="14.7109375" style="241" customWidth="1"/>
    <col min="3115" max="3115" width="15.85546875" style="241" customWidth="1"/>
    <col min="3116" max="3116" width="15" style="241" customWidth="1"/>
    <col min="3117" max="3117" width="18.140625" style="241" customWidth="1"/>
    <col min="3118" max="3118" width="22.42578125" style="241" customWidth="1"/>
    <col min="3119" max="3119" width="23.7109375" style="241" customWidth="1"/>
    <col min="3120" max="3120" width="14" style="241" customWidth="1"/>
    <col min="3121" max="3121" width="15" style="241" customWidth="1"/>
    <col min="3122" max="3122" width="21.28515625" style="241" customWidth="1"/>
    <col min="3123" max="3123" width="15.85546875" style="241" customWidth="1"/>
    <col min="3124" max="3124" width="18.28515625" style="241" customWidth="1"/>
    <col min="3125" max="3125" width="16.28515625" style="241" customWidth="1"/>
    <col min="3126" max="3330" width="11.42578125" style="241"/>
    <col min="3331" max="3342" width="2.7109375" style="241" customWidth="1"/>
    <col min="3343" max="3344" width="6.140625" style="241" customWidth="1"/>
    <col min="3345" max="3353" width="2.7109375" style="241" customWidth="1"/>
    <col min="3354" max="3354" width="14.7109375" style="241" customWidth="1"/>
    <col min="3355" max="3355" width="6.28515625" style="241" customWidth="1"/>
    <col min="3356" max="3366" width="2.7109375" style="241" customWidth="1"/>
    <col min="3367" max="3367" width="25.42578125" style="241" customWidth="1"/>
    <col min="3368" max="3368" width="17.85546875" style="241" customWidth="1"/>
    <col min="3369" max="3369" width="15.85546875" style="241" customWidth="1"/>
    <col min="3370" max="3370" width="14.7109375" style="241" customWidth="1"/>
    <col min="3371" max="3371" width="15.85546875" style="241" customWidth="1"/>
    <col min="3372" max="3372" width="15" style="241" customWidth="1"/>
    <col min="3373" max="3373" width="18.140625" style="241" customWidth="1"/>
    <col min="3374" max="3374" width="22.42578125" style="241" customWidth="1"/>
    <col min="3375" max="3375" width="23.7109375" style="241" customWidth="1"/>
    <col min="3376" max="3376" width="14" style="241" customWidth="1"/>
    <col min="3377" max="3377" width="15" style="241" customWidth="1"/>
    <col min="3378" max="3378" width="21.28515625" style="241" customWidth="1"/>
    <col min="3379" max="3379" width="15.85546875" style="241" customWidth="1"/>
    <col min="3380" max="3380" width="18.28515625" style="241" customWidth="1"/>
    <col min="3381" max="3381" width="16.28515625" style="241" customWidth="1"/>
    <col min="3382" max="3586" width="11.42578125" style="241"/>
    <col min="3587" max="3598" width="2.7109375" style="241" customWidth="1"/>
    <col min="3599" max="3600" width="6.140625" style="241" customWidth="1"/>
    <col min="3601" max="3609" width="2.7109375" style="241" customWidth="1"/>
    <col min="3610" max="3610" width="14.7109375" style="241" customWidth="1"/>
    <col min="3611" max="3611" width="6.28515625" style="241" customWidth="1"/>
    <col min="3612" max="3622" width="2.7109375" style="241" customWidth="1"/>
    <col min="3623" max="3623" width="25.42578125" style="241" customWidth="1"/>
    <col min="3624" max="3624" width="17.85546875" style="241" customWidth="1"/>
    <col min="3625" max="3625" width="15.85546875" style="241" customWidth="1"/>
    <col min="3626" max="3626" width="14.7109375" style="241" customWidth="1"/>
    <col min="3627" max="3627" width="15.85546875" style="241" customWidth="1"/>
    <col min="3628" max="3628" width="15" style="241" customWidth="1"/>
    <col min="3629" max="3629" width="18.140625" style="241" customWidth="1"/>
    <col min="3630" max="3630" width="22.42578125" style="241" customWidth="1"/>
    <col min="3631" max="3631" width="23.7109375" style="241" customWidth="1"/>
    <col min="3632" max="3632" width="14" style="241" customWidth="1"/>
    <col min="3633" max="3633" width="15" style="241" customWidth="1"/>
    <col min="3634" max="3634" width="21.28515625" style="241" customWidth="1"/>
    <col min="3635" max="3635" width="15.85546875" style="241" customWidth="1"/>
    <col min="3636" max="3636" width="18.28515625" style="241" customWidth="1"/>
    <col min="3637" max="3637" width="16.28515625" style="241" customWidth="1"/>
    <col min="3638" max="3842" width="11.42578125" style="241"/>
    <col min="3843" max="3854" width="2.7109375" style="241" customWidth="1"/>
    <col min="3855" max="3856" width="6.140625" style="241" customWidth="1"/>
    <col min="3857" max="3865" width="2.7109375" style="241" customWidth="1"/>
    <col min="3866" max="3866" width="14.7109375" style="241" customWidth="1"/>
    <col min="3867" max="3867" width="6.28515625" style="241" customWidth="1"/>
    <col min="3868" max="3878" width="2.7109375" style="241" customWidth="1"/>
    <col min="3879" max="3879" width="25.42578125" style="241" customWidth="1"/>
    <col min="3880" max="3880" width="17.85546875" style="241" customWidth="1"/>
    <col min="3881" max="3881" width="15.85546875" style="241" customWidth="1"/>
    <col min="3882" max="3882" width="14.7109375" style="241" customWidth="1"/>
    <col min="3883" max="3883" width="15.85546875" style="241" customWidth="1"/>
    <col min="3884" max="3884" width="15" style="241" customWidth="1"/>
    <col min="3885" max="3885" width="18.140625" style="241" customWidth="1"/>
    <col min="3886" max="3886" width="22.42578125" style="241" customWidth="1"/>
    <col min="3887" max="3887" width="23.7109375" style="241" customWidth="1"/>
    <col min="3888" max="3888" width="14" style="241" customWidth="1"/>
    <col min="3889" max="3889" width="15" style="241" customWidth="1"/>
    <col min="3890" max="3890" width="21.28515625" style="241" customWidth="1"/>
    <col min="3891" max="3891" width="15.85546875" style="241" customWidth="1"/>
    <col min="3892" max="3892" width="18.28515625" style="241" customWidth="1"/>
    <col min="3893" max="3893" width="16.28515625" style="241" customWidth="1"/>
    <col min="3894" max="4098" width="11.42578125" style="241"/>
    <col min="4099" max="4110" width="2.7109375" style="241" customWidth="1"/>
    <col min="4111" max="4112" width="6.140625" style="241" customWidth="1"/>
    <col min="4113" max="4121" width="2.7109375" style="241" customWidth="1"/>
    <col min="4122" max="4122" width="14.7109375" style="241" customWidth="1"/>
    <col min="4123" max="4123" width="6.28515625" style="241" customWidth="1"/>
    <col min="4124" max="4134" width="2.7109375" style="241" customWidth="1"/>
    <col min="4135" max="4135" width="25.42578125" style="241" customWidth="1"/>
    <col min="4136" max="4136" width="17.85546875" style="241" customWidth="1"/>
    <col min="4137" max="4137" width="15.85546875" style="241" customWidth="1"/>
    <col min="4138" max="4138" width="14.7109375" style="241" customWidth="1"/>
    <col min="4139" max="4139" width="15.85546875" style="241" customWidth="1"/>
    <col min="4140" max="4140" width="15" style="241" customWidth="1"/>
    <col min="4141" max="4141" width="18.140625" style="241" customWidth="1"/>
    <col min="4142" max="4142" width="22.42578125" style="241" customWidth="1"/>
    <col min="4143" max="4143" width="23.7109375" style="241" customWidth="1"/>
    <col min="4144" max="4144" width="14" style="241" customWidth="1"/>
    <col min="4145" max="4145" width="15" style="241" customWidth="1"/>
    <col min="4146" max="4146" width="21.28515625" style="241" customWidth="1"/>
    <col min="4147" max="4147" width="15.85546875" style="241" customWidth="1"/>
    <col min="4148" max="4148" width="18.28515625" style="241" customWidth="1"/>
    <col min="4149" max="4149" width="16.28515625" style="241" customWidth="1"/>
    <col min="4150" max="4354" width="11.42578125" style="241"/>
    <col min="4355" max="4366" width="2.7109375" style="241" customWidth="1"/>
    <col min="4367" max="4368" width="6.140625" style="241" customWidth="1"/>
    <col min="4369" max="4377" width="2.7109375" style="241" customWidth="1"/>
    <col min="4378" max="4378" width="14.7109375" style="241" customWidth="1"/>
    <col min="4379" max="4379" width="6.28515625" style="241" customWidth="1"/>
    <col min="4380" max="4390" width="2.7109375" style="241" customWidth="1"/>
    <col min="4391" max="4391" width="25.42578125" style="241" customWidth="1"/>
    <col min="4392" max="4392" width="17.85546875" style="241" customWidth="1"/>
    <col min="4393" max="4393" width="15.85546875" style="241" customWidth="1"/>
    <col min="4394" max="4394" width="14.7109375" style="241" customWidth="1"/>
    <col min="4395" max="4395" width="15.85546875" style="241" customWidth="1"/>
    <col min="4396" max="4396" width="15" style="241" customWidth="1"/>
    <col min="4397" max="4397" width="18.140625" style="241" customWidth="1"/>
    <col min="4398" max="4398" width="22.42578125" style="241" customWidth="1"/>
    <col min="4399" max="4399" width="23.7109375" style="241" customWidth="1"/>
    <col min="4400" max="4400" width="14" style="241" customWidth="1"/>
    <col min="4401" max="4401" width="15" style="241" customWidth="1"/>
    <col min="4402" max="4402" width="21.28515625" style="241" customWidth="1"/>
    <col min="4403" max="4403" width="15.85546875" style="241" customWidth="1"/>
    <col min="4404" max="4404" width="18.28515625" style="241" customWidth="1"/>
    <col min="4405" max="4405" width="16.28515625" style="241" customWidth="1"/>
    <col min="4406" max="4610" width="11.42578125" style="241"/>
    <col min="4611" max="4622" width="2.7109375" style="241" customWidth="1"/>
    <col min="4623" max="4624" width="6.140625" style="241" customWidth="1"/>
    <col min="4625" max="4633" width="2.7109375" style="241" customWidth="1"/>
    <col min="4634" max="4634" width="14.7109375" style="241" customWidth="1"/>
    <col min="4635" max="4635" width="6.28515625" style="241" customWidth="1"/>
    <col min="4636" max="4646" width="2.7109375" style="241" customWidth="1"/>
    <col min="4647" max="4647" width="25.42578125" style="241" customWidth="1"/>
    <col min="4648" max="4648" width="17.85546875" style="241" customWidth="1"/>
    <col min="4649" max="4649" width="15.85546875" style="241" customWidth="1"/>
    <col min="4650" max="4650" width="14.7109375" style="241" customWidth="1"/>
    <col min="4651" max="4651" width="15.85546875" style="241" customWidth="1"/>
    <col min="4652" max="4652" width="15" style="241" customWidth="1"/>
    <col min="4653" max="4653" width="18.140625" style="241" customWidth="1"/>
    <col min="4654" max="4654" width="22.42578125" style="241" customWidth="1"/>
    <col min="4655" max="4655" width="23.7109375" style="241" customWidth="1"/>
    <col min="4656" max="4656" width="14" style="241" customWidth="1"/>
    <col min="4657" max="4657" width="15" style="241" customWidth="1"/>
    <col min="4658" max="4658" width="21.28515625" style="241" customWidth="1"/>
    <col min="4659" max="4659" width="15.85546875" style="241" customWidth="1"/>
    <col min="4660" max="4660" width="18.28515625" style="241" customWidth="1"/>
    <col min="4661" max="4661" width="16.28515625" style="241" customWidth="1"/>
    <col min="4662" max="4866" width="11.42578125" style="241"/>
    <col min="4867" max="4878" width="2.7109375" style="241" customWidth="1"/>
    <col min="4879" max="4880" width="6.140625" style="241" customWidth="1"/>
    <col min="4881" max="4889" width="2.7109375" style="241" customWidth="1"/>
    <col min="4890" max="4890" width="14.7109375" style="241" customWidth="1"/>
    <col min="4891" max="4891" width="6.28515625" style="241" customWidth="1"/>
    <col min="4892" max="4902" width="2.7109375" style="241" customWidth="1"/>
    <col min="4903" max="4903" width="25.42578125" style="241" customWidth="1"/>
    <col min="4904" max="4904" width="17.85546875" style="241" customWidth="1"/>
    <col min="4905" max="4905" width="15.85546875" style="241" customWidth="1"/>
    <col min="4906" max="4906" width="14.7109375" style="241" customWidth="1"/>
    <col min="4907" max="4907" width="15.85546875" style="241" customWidth="1"/>
    <col min="4908" max="4908" width="15" style="241" customWidth="1"/>
    <col min="4909" max="4909" width="18.140625" style="241" customWidth="1"/>
    <col min="4910" max="4910" width="22.42578125" style="241" customWidth="1"/>
    <col min="4911" max="4911" width="23.7109375" style="241" customWidth="1"/>
    <col min="4912" max="4912" width="14" style="241" customWidth="1"/>
    <col min="4913" max="4913" width="15" style="241" customWidth="1"/>
    <col min="4914" max="4914" width="21.28515625" style="241" customWidth="1"/>
    <col min="4915" max="4915" width="15.85546875" style="241" customWidth="1"/>
    <col min="4916" max="4916" width="18.28515625" style="241" customWidth="1"/>
    <col min="4917" max="4917" width="16.28515625" style="241" customWidth="1"/>
    <col min="4918" max="5122" width="11.42578125" style="241"/>
    <col min="5123" max="5134" width="2.7109375" style="241" customWidth="1"/>
    <col min="5135" max="5136" width="6.140625" style="241" customWidth="1"/>
    <col min="5137" max="5145" width="2.7109375" style="241" customWidth="1"/>
    <col min="5146" max="5146" width="14.7109375" style="241" customWidth="1"/>
    <col min="5147" max="5147" width="6.28515625" style="241" customWidth="1"/>
    <col min="5148" max="5158" width="2.7109375" style="241" customWidth="1"/>
    <col min="5159" max="5159" width="25.42578125" style="241" customWidth="1"/>
    <col min="5160" max="5160" width="17.85546875" style="241" customWidth="1"/>
    <col min="5161" max="5161" width="15.85546875" style="241" customWidth="1"/>
    <col min="5162" max="5162" width="14.7109375" style="241" customWidth="1"/>
    <col min="5163" max="5163" width="15.85546875" style="241" customWidth="1"/>
    <col min="5164" max="5164" width="15" style="241" customWidth="1"/>
    <col min="5165" max="5165" width="18.140625" style="241" customWidth="1"/>
    <col min="5166" max="5166" width="22.42578125" style="241" customWidth="1"/>
    <col min="5167" max="5167" width="23.7109375" style="241" customWidth="1"/>
    <col min="5168" max="5168" width="14" style="241" customWidth="1"/>
    <col min="5169" max="5169" width="15" style="241" customWidth="1"/>
    <col min="5170" max="5170" width="21.28515625" style="241" customWidth="1"/>
    <col min="5171" max="5171" width="15.85546875" style="241" customWidth="1"/>
    <col min="5172" max="5172" width="18.28515625" style="241" customWidth="1"/>
    <col min="5173" max="5173" width="16.28515625" style="241" customWidth="1"/>
    <col min="5174" max="5378" width="11.42578125" style="241"/>
    <col min="5379" max="5390" width="2.7109375" style="241" customWidth="1"/>
    <col min="5391" max="5392" width="6.140625" style="241" customWidth="1"/>
    <col min="5393" max="5401" width="2.7109375" style="241" customWidth="1"/>
    <col min="5402" max="5402" width="14.7109375" style="241" customWidth="1"/>
    <col min="5403" max="5403" width="6.28515625" style="241" customWidth="1"/>
    <col min="5404" max="5414" width="2.7109375" style="241" customWidth="1"/>
    <col min="5415" max="5415" width="25.42578125" style="241" customWidth="1"/>
    <col min="5416" max="5416" width="17.85546875" style="241" customWidth="1"/>
    <col min="5417" max="5417" width="15.85546875" style="241" customWidth="1"/>
    <col min="5418" max="5418" width="14.7109375" style="241" customWidth="1"/>
    <col min="5419" max="5419" width="15.85546875" style="241" customWidth="1"/>
    <col min="5420" max="5420" width="15" style="241" customWidth="1"/>
    <col min="5421" max="5421" width="18.140625" style="241" customWidth="1"/>
    <col min="5422" max="5422" width="22.42578125" style="241" customWidth="1"/>
    <col min="5423" max="5423" width="23.7109375" style="241" customWidth="1"/>
    <col min="5424" max="5424" width="14" style="241" customWidth="1"/>
    <col min="5425" max="5425" width="15" style="241" customWidth="1"/>
    <col min="5426" max="5426" width="21.28515625" style="241" customWidth="1"/>
    <col min="5427" max="5427" width="15.85546875" style="241" customWidth="1"/>
    <col min="5428" max="5428" width="18.28515625" style="241" customWidth="1"/>
    <col min="5429" max="5429" width="16.28515625" style="241" customWidth="1"/>
    <col min="5430" max="5634" width="11.42578125" style="241"/>
    <col min="5635" max="5646" width="2.7109375" style="241" customWidth="1"/>
    <col min="5647" max="5648" width="6.140625" style="241" customWidth="1"/>
    <col min="5649" max="5657" width="2.7109375" style="241" customWidth="1"/>
    <col min="5658" max="5658" width="14.7109375" style="241" customWidth="1"/>
    <col min="5659" max="5659" width="6.28515625" style="241" customWidth="1"/>
    <col min="5660" max="5670" width="2.7109375" style="241" customWidth="1"/>
    <col min="5671" max="5671" width="25.42578125" style="241" customWidth="1"/>
    <col min="5672" max="5672" width="17.85546875" style="241" customWidth="1"/>
    <col min="5673" max="5673" width="15.85546875" style="241" customWidth="1"/>
    <col min="5674" max="5674" width="14.7109375" style="241" customWidth="1"/>
    <col min="5675" max="5675" width="15.85546875" style="241" customWidth="1"/>
    <col min="5676" max="5676" width="15" style="241" customWidth="1"/>
    <col min="5677" max="5677" width="18.140625" style="241" customWidth="1"/>
    <col min="5678" max="5678" width="22.42578125" style="241" customWidth="1"/>
    <col min="5679" max="5679" width="23.7109375" style="241" customWidth="1"/>
    <col min="5680" max="5680" width="14" style="241" customWidth="1"/>
    <col min="5681" max="5681" width="15" style="241" customWidth="1"/>
    <col min="5682" max="5682" width="21.28515625" style="241" customWidth="1"/>
    <col min="5683" max="5683" width="15.85546875" style="241" customWidth="1"/>
    <col min="5684" max="5684" width="18.28515625" style="241" customWidth="1"/>
    <col min="5685" max="5685" width="16.28515625" style="241" customWidth="1"/>
    <col min="5686" max="5890" width="11.42578125" style="241"/>
    <col min="5891" max="5902" width="2.7109375" style="241" customWidth="1"/>
    <col min="5903" max="5904" width="6.140625" style="241" customWidth="1"/>
    <col min="5905" max="5913" width="2.7109375" style="241" customWidth="1"/>
    <col min="5914" max="5914" width="14.7109375" style="241" customWidth="1"/>
    <col min="5915" max="5915" width="6.28515625" style="241" customWidth="1"/>
    <col min="5916" max="5926" width="2.7109375" style="241" customWidth="1"/>
    <col min="5927" max="5927" width="25.42578125" style="241" customWidth="1"/>
    <col min="5928" max="5928" width="17.85546875" style="241" customWidth="1"/>
    <col min="5929" max="5929" width="15.85546875" style="241" customWidth="1"/>
    <col min="5930" max="5930" width="14.7109375" style="241" customWidth="1"/>
    <col min="5931" max="5931" width="15.85546875" style="241" customWidth="1"/>
    <col min="5932" max="5932" width="15" style="241" customWidth="1"/>
    <col min="5933" max="5933" width="18.140625" style="241" customWidth="1"/>
    <col min="5934" max="5934" width="22.42578125" style="241" customWidth="1"/>
    <col min="5935" max="5935" width="23.7109375" style="241" customWidth="1"/>
    <col min="5936" max="5936" width="14" style="241" customWidth="1"/>
    <col min="5937" max="5937" width="15" style="241" customWidth="1"/>
    <col min="5938" max="5938" width="21.28515625" style="241" customWidth="1"/>
    <col min="5939" max="5939" width="15.85546875" style="241" customWidth="1"/>
    <col min="5940" max="5940" width="18.28515625" style="241" customWidth="1"/>
    <col min="5941" max="5941" width="16.28515625" style="241" customWidth="1"/>
    <col min="5942" max="6146" width="11.42578125" style="241"/>
    <col min="6147" max="6158" width="2.7109375" style="241" customWidth="1"/>
    <col min="6159" max="6160" width="6.140625" style="241" customWidth="1"/>
    <col min="6161" max="6169" width="2.7109375" style="241" customWidth="1"/>
    <col min="6170" max="6170" width="14.7109375" style="241" customWidth="1"/>
    <col min="6171" max="6171" width="6.28515625" style="241" customWidth="1"/>
    <col min="6172" max="6182" width="2.7109375" style="241" customWidth="1"/>
    <col min="6183" max="6183" width="25.42578125" style="241" customWidth="1"/>
    <col min="6184" max="6184" width="17.85546875" style="241" customWidth="1"/>
    <col min="6185" max="6185" width="15.85546875" style="241" customWidth="1"/>
    <col min="6186" max="6186" width="14.7109375" style="241" customWidth="1"/>
    <col min="6187" max="6187" width="15.85546875" style="241" customWidth="1"/>
    <col min="6188" max="6188" width="15" style="241" customWidth="1"/>
    <col min="6189" max="6189" width="18.140625" style="241" customWidth="1"/>
    <col min="6190" max="6190" width="22.42578125" style="241" customWidth="1"/>
    <col min="6191" max="6191" width="23.7109375" style="241" customWidth="1"/>
    <col min="6192" max="6192" width="14" style="241" customWidth="1"/>
    <col min="6193" max="6193" width="15" style="241" customWidth="1"/>
    <col min="6194" max="6194" width="21.28515625" style="241" customWidth="1"/>
    <col min="6195" max="6195" width="15.85546875" style="241" customWidth="1"/>
    <col min="6196" max="6196" width="18.28515625" style="241" customWidth="1"/>
    <col min="6197" max="6197" width="16.28515625" style="241" customWidth="1"/>
    <col min="6198" max="6402" width="11.42578125" style="241"/>
    <col min="6403" max="6414" width="2.7109375" style="241" customWidth="1"/>
    <col min="6415" max="6416" width="6.140625" style="241" customWidth="1"/>
    <col min="6417" max="6425" width="2.7109375" style="241" customWidth="1"/>
    <col min="6426" max="6426" width="14.7109375" style="241" customWidth="1"/>
    <col min="6427" max="6427" width="6.28515625" style="241" customWidth="1"/>
    <col min="6428" max="6438" width="2.7109375" style="241" customWidth="1"/>
    <col min="6439" max="6439" width="25.42578125" style="241" customWidth="1"/>
    <col min="6440" max="6440" width="17.85546875" style="241" customWidth="1"/>
    <col min="6441" max="6441" width="15.85546875" style="241" customWidth="1"/>
    <col min="6442" max="6442" width="14.7109375" style="241" customWidth="1"/>
    <col min="6443" max="6443" width="15.85546875" style="241" customWidth="1"/>
    <col min="6444" max="6444" width="15" style="241" customWidth="1"/>
    <col min="6445" max="6445" width="18.140625" style="241" customWidth="1"/>
    <col min="6446" max="6446" width="22.42578125" style="241" customWidth="1"/>
    <col min="6447" max="6447" width="23.7109375" style="241" customWidth="1"/>
    <col min="6448" max="6448" width="14" style="241" customWidth="1"/>
    <col min="6449" max="6449" width="15" style="241" customWidth="1"/>
    <col min="6450" max="6450" width="21.28515625" style="241" customWidth="1"/>
    <col min="6451" max="6451" width="15.85546875" style="241" customWidth="1"/>
    <col min="6452" max="6452" width="18.28515625" style="241" customWidth="1"/>
    <col min="6453" max="6453" width="16.28515625" style="241" customWidth="1"/>
    <col min="6454" max="6658" width="11.42578125" style="241"/>
    <col min="6659" max="6670" width="2.7109375" style="241" customWidth="1"/>
    <col min="6671" max="6672" width="6.140625" style="241" customWidth="1"/>
    <col min="6673" max="6681" width="2.7109375" style="241" customWidth="1"/>
    <col min="6682" max="6682" width="14.7109375" style="241" customWidth="1"/>
    <col min="6683" max="6683" width="6.28515625" style="241" customWidth="1"/>
    <col min="6684" max="6694" width="2.7109375" style="241" customWidth="1"/>
    <col min="6695" max="6695" width="25.42578125" style="241" customWidth="1"/>
    <col min="6696" max="6696" width="17.85546875" style="241" customWidth="1"/>
    <col min="6697" max="6697" width="15.85546875" style="241" customWidth="1"/>
    <col min="6698" max="6698" width="14.7109375" style="241" customWidth="1"/>
    <col min="6699" max="6699" width="15.85546875" style="241" customWidth="1"/>
    <col min="6700" max="6700" width="15" style="241" customWidth="1"/>
    <col min="6701" max="6701" width="18.140625" style="241" customWidth="1"/>
    <col min="6702" max="6702" width="22.42578125" style="241" customWidth="1"/>
    <col min="6703" max="6703" width="23.7109375" style="241" customWidth="1"/>
    <col min="6704" max="6704" width="14" style="241" customWidth="1"/>
    <col min="6705" max="6705" width="15" style="241" customWidth="1"/>
    <col min="6706" max="6706" width="21.28515625" style="241" customWidth="1"/>
    <col min="6707" max="6707" width="15.85546875" style="241" customWidth="1"/>
    <col min="6708" max="6708" width="18.28515625" style="241" customWidth="1"/>
    <col min="6709" max="6709" width="16.28515625" style="241" customWidth="1"/>
    <col min="6710" max="6914" width="11.42578125" style="241"/>
    <col min="6915" max="6926" width="2.7109375" style="241" customWidth="1"/>
    <col min="6927" max="6928" width="6.140625" style="241" customWidth="1"/>
    <col min="6929" max="6937" width="2.7109375" style="241" customWidth="1"/>
    <col min="6938" max="6938" width="14.7109375" style="241" customWidth="1"/>
    <col min="6939" max="6939" width="6.28515625" style="241" customWidth="1"/>
    <col min="6940" max="6950" width="2.7109375" style="241" customWidth="1"/>
    <col min="6951" max="6951" width="25.42578125" style="241" customWidth="1"/>
    <col min="6952" max="6952" width="17.85546875" style="241" customWidth="1"/>
    <col min="6953" max="6953" width="15.85546875" style="241" customWidth="1"/>
    <col min="6954" max="6954" width="14.7109375" style="241" customWidth="1"/>
    <col min="6955" max="6955" width="15.85546875" style="241" customWidth="1"/>
    <col min="6956" max="6956" width="15" style="241" customWidth="1"/>
    <col min="6957" max="6957" width="18.140625" style="241" customWidth="1"/>
    <col min="6958" max="6958" width="22.42578125" style="241" customWidth="1"/>
    <col min="6959" max="6959" width="23.7109375" style="241" customWidth="1"/>
    <col min="6960" max="6960" width="14" style="241" customWidth="1"/>
    <col min="6961" max="6961" width="15" style="241" customWidth="1"/>
    <col min="6962" max="6962" width="21.28515625" style="241" customWidth="1"/>
    <col min="6963" max="6963" width="15.85546875" style="241" customWidth="1"/>
    <col min="6964" max="6964" width="18.28515625" style="241" customWidth="1"/>
    <col min="6965" max="6965" width="16.28515625" style="241" customWidth="1"/>
    <col min="6966" max="7170" width="11.42578125" style="241"/>
    <col min="7171" max="7182" width="2.7109375" style="241" customWidth="1"/>
    <col min="7183" max="7184" width="6.140625" style="241" customWidth="1"/>
    <col min="7185" max="7193" width="2.7109375" style="241" customWidth="1"/>
    <col min="7194" max="7194" width="14.7109375" style="241" customWidth="1"/>
    <col min="7195" max="7195" width="6.28515625" style="241" customWidth="1"/>
    <col min="7196" max="7206" width="2.7109375" style="241" customWidth="1"/>
    <col min="7207" max="7207" width="25.42578125" style="241" customWidth="1"/>
    <col min="7208" max="7208" width="17.85546875" style="241" customWidth="1"/>
    <col min="7209" max="7209" width="15.85546875" style="241" customWidth="1"/>
    <col min="7210" max="7210" width="14.7109375" style="241" customWidth="1"/>
    <col min="7211" max="7211" width="15.85546875" style="241" customWidth="1"/>
    <col min="7212" max="7212" width="15" style="241" customWidth="1"/>
    <col min="7213" max="7213" width="18.140625" style="241" customWidth="1"/>
    <col min="7214" max="7214" width="22.42578125" style="241" customWidth="1"/>
    <col min="7215" max="7215" width="23.7109375" style="241" customWidth="1"/>
    <col min="7216" max="7216" width="14" style="241" customWidth="1"/>
    <col min="7217" max="7217" width="15" style="241" customWidth="1"/>
    <col min="7218" max="7218" width="21.28515625" style="241" customWidth="1"/>
    <col min="7219" max="7219" width="15.85546875" style="241" customWidth="1"/>
    <col min="7220" max="7220" width="18.28515625" style="241" customWidth="1"/>
    <col min="7221" max="7221" width="16.28515625" style="241" customWidth="1"/>
    <col min="7222" max="7426" width="11.42578125" style="241"/>
    <col min="7427" max="7438" width="2.7109375" style="241" customWidth="1"/>
    <col min="7439" max="7440" width="6.140625" style="241" customWidth="1"/>
    <col min="7441" max="7449" width="2.7109375" style="241" customWidth="1"/>
    <col min="7450" max="7450" width="14.7109375" style="241" customWidth="1"/>
    <col min="7451" max="7451" width="6.28515625" style="241" customWidth="1"/>
    <col min="7452" max="7462" width="2.7109375" style="241" customWidth="1"/>
    <col min="7463" max="7463" width="25.42578125" style="241" customWidth="1"/>
    <col min="7464" max="7464" width="17.85546875" style="241" customWidth="1"/>
    <col min="7465" max="7465" width="15.85546875" style="241" customWidth="1"/>
    <col min="7466" max="7466" width="14.7109375" style="241" customWidth="1"/>
    <col min="7467" max="7467" width="15.85546875" style="241" customWidth="1"/>
    <col min="7468" max="7468" width="15" style="241" customWidth="1"/>
    <col min="7469" max="7469" width="18.140625" style="241" customWidth="1"/>
    <col min="7470" max="7470" width="22.42578125" style="241" customWidth="1"/>
    <col min="7471" max="7471" width="23.7109375" style="241" customWidth="1"/>
    <col min="7472" max="7472" width="14" style="241" customWidth="1"/>
    <col min="7473" max="7473" width="15" style="241" customWidth="1"/>
    <col min="7474" max="7474" width="21.28515625" style="241" customWidth="1"/>
    <col min="7475" max="7475" width="15.85546875" style="241" customWidth="1"/>
    <col min="7476" max="7476" width="18.28515625" style="241" customWidth="1"/>
    <col min="7477" max="7477" width="16.28515625" style="241" customWidth="1"/>
    <col min="7478" max="7682" width="11.42578125" style="241"/>
    <col min="7683" max="7694" width="2.7109375" style="241" customWidth="1"/>
    <col min="7695" max="7696" width="6.140625" style="241" customWidth="1"/>
    <col min="7697" max="7705" width="2.7109375" style="241" customWidth="1"/>
    <col min="7706" max="7706" width="14.7109375" style="241" customWidth="1"/>
    <col min="7707" max="7707" width="6.28515625" style="241" customWidth="1"/>
    <col min="7708" max="7718" width="2.7109375" style="241" customWidth="1"/>
    <col min="7719" max="7719" width="25.42578125" style="241" customWidth="1"/>
    <col min="7720" max="7720" width="17.85546875" style="241" customWidth="1"/>
    <col min="7721" max="7721" width="15.85546875" style="241" customWidth="1"/>
    <col min="7722" max="7722" width="14.7109375" style="241" customWidth="1"/>
    <col min="7723" max="7723" width="15.85546875" style="241" customWidth="1"/>
    <col min="7724" max="7724" width="15" style="241" customWidth="1"/>
    <col min="7725" max="7725" width="18.140625" style="241" customWidth="1"/>
    <col min="7726" max="7726" width="22.42578125" style="241" customWidth="1"/>
    <col min="7727" max="7727" width="23.7109375" style="241" customWidth="1"/>
    <col min="7728" max="7728" width="14" style="241" customWidth="1"/>
    <col min="7729" max="7729" width="15" style="241" customWidth="1"/>
    <col min="7730" max="7730" width="21.28515625" style="241" customWidth="1"/>
    <col min="7731" max="7731" width="15.85546875" style="241" customWidth="1"/>
    <col min="7732" max="7732" width="18.28515625" style="241" customWidth="1"/>
    <col min="7733" max="7733" width="16.28515625" style="241" customWidth="1"/>
    <col min="7734" max="7938" width="11.42578125" style="241"/>
    <col min="7939" max="7950" width="2.7109375" style="241" customWidth="1"/>
    <col min="7951" max="7952" width="6.140625" style="241" customWidth="1"/>
    <col min="7953" max="7961" width="2.7109375" style="241" customWidth="1"/>
    <col min="7962" max="7962" width="14.7109375" style="241" customWidth="1"/>
    <col min="7963" max="7963" width="6.28515625" style="241" customWidth="1"/>
    <col min="7964" max="7974" width="2.7109375" style="241" customWidth="1"/>
    <col min="7975" max="7975" width="25.42578125" style="241" customWidth="1"/>
    <col min="7976" max="7976" width="17.85546875" style="241" customWidth="1"/>
    <col min="7977" max="7977" width="15.85546875" style="241" customWidth="1"/>
    <col min="7978" max="7978" width="14.7109375" style="241" customWidth="1"/>
    <col min="7979" max="7979" width="15.85546875" style="241" customWidth="1"/>
    <col min="7980" max="7980" width="15" style="241" customWidth="1"/>
    <col min="7981" max="7981" width="18.140625" style="241" customWidth="1"/>
    <col min="7982" max="7982" width="22.42578125" style="241" customWidth="1"/>
    <col min="7983" max="7983" width="23.7109375" style="241" customWidth="1"/>
    <col min="7984" max="7984" width="14" style="241" customWidth="1"/>
    <col min="7985" max="7985" width="15" style="241" customWidth="1"/>
    <col min="7986" max="7986" width="21.28515625" style="241" customWidth="1"/>
    <col min="7987" max="7987" width="15.85546875" style="241" customWidth="1"/>
    <col min="7988" max="7988" width="18.28515625" style="241" customWidth="1"/>
    <col min="7989" max="7989" width="16.28515625" style="241" customWidth="1"/>
    <col min="7990" max="8194" width="11.42578125" style="241"/>
    <col min="8195" max="8206" width="2.7109375" style="241" customWidth="1"/>
    <col min="8207" max="8208" width="6.140625" style="241" customWidth="1"/>
    <col min="8209" max="8217" width="2.7109375" style="241" customWidth="1"/>
    <col min="8218" max="8218" width="14.7109375" style="241" customWidth="1"/>
    <col min="8219" max="8219" width="6.28515625" style="241" customWidth="1"/>
    <col min="8220" max="8230" width="2.7109375" style="241" customWidth="1"/>
    <col min="8231" max="8231" width="25.42578125" style="241" customWidth="1"/>
    <col min="8232" max="8232" width="17.85546875" style="241" customWidth="1"/>
    <col min="8233" max="8233" width="15.85546875" style="241" customWidth="1"/>
    <col min="8234" max="8234" width="14.7109375" style="241" customWidth="1"/>
    <col min="8235" max="8235" width="15.85546875" style="241" customWidth="1"/>
    <col min="8236" max="8236" width="15" style="241" customWidth="1"/>
    <col min="8237" max="8237" width="18.140625" style="241" customWidth="1"/>
    <col min="8238" max="8238" width="22.42578125" style="241" customWidth="1"/>
    <col min="8239" max="8239" width="23.7109375" style="241" customWidth="1"/>
    <col min="8240" max="8240" width="14" style="241" customWidth="1"/>
    <col min="8241" max="8241" width="15" style="241" customWidth="1"/>
    <col min="8242" max="8242" width="21.28515625" style="241" customWidth="1"/>
    <col min="8243" max="8243" width="15.85546875" style="241" customWidth="1"/>
    <col min="8244" max="8244" width="18.28515625" style="241" customWidth="1"/>
    <col min="8245" max="8245" width="16.28515625" style="241" customWidth="1"/>
    <col min="8246" max="8450" width="11.42578125" style="241"/>
    <col min="8451" max="8462" width="2.7109375" style="241" customWidth="1"/>
    <col min="8463" max="8464" width="6.140625" style="241" customWidth="1"/>
    <col min="8465" max="8473" width="2.7109375" style="241" customWidth="1"/>
    <col min="8474" max="8474" width="14.7109375" style="241" customWidth="1"/>
    <col min="8475" max="8475" width="6.28515625" style="241" customWidth="1"/>
    <col min="8476" max="8486" width="2.7109375" style="241" customWidth="1"/>
    <col min="8487" max="8487" width="25.42578125" style="241" customWidth="1"/>
    <col min="8488" max="8488" width="17.85546875" style="241" customWidth="1"/>
    <col min="8489" max="8489" width="15.85546875" style="241" customWidth="1"/>
    <col min="8490" max="8490" width="14.7109375" style="241" customWidth="1"/>
    <col min="8491" max="8491" width="15.85546875" style="241" customWidth="1"/>
    <col min="8492" max="8492" width="15" style="241" customWidth="1"/>
    <col min="8493" max="8493" width="18.140625" style="241" customWidth="1"/>
    <col min="8494" max="8494" width="22.42578125" style="241" customWidth="1"/>
    <col min="8495" max="8495" width="23.7109375" style="241" customWidth="1"/>
    <col min="8496" max="8496" width="14" style="241" customWidth="1"/>
    <col min="8497" max="8497" width="15" style="241" customWidth="1"/>
    <col min="8498" max="8498" width="21.28515625" style="241" customWidth="1"/>
    <col min="8499" max="8499" width="15.85546875" style="241" customWidth="1"/>
    <col min="8500" max="8500" width="18.28515625" style="241" customWidth="1"/>
    <col min="8501" max="8501" width="16.28515625" style="241" customWidth="1"/>
    <col min="8502" max="8706" width="11.42578125" style="241"/>
    <col min="8707" max="8718" width="2.7109375" style="241" customWidth="1"/>
    <col min="8719" max="8720" width="6.140625" style="241" customWidth="1"/>
    <col min="8721" max="8729" width="2.7109375" style="241" customWidth="1"/>
    <col min="8730" max="8730" width="14.7109375" style="241" customWidth="1"/>
    <col min="8731" max="8731" width="6.28515625" style="241" customWidth="1"/>
    <col min="8732" max="8742" width="2.7109375" style="241" customWidth="1"/>
    <col min="8743" max="8743" width="25.42578125" style="241" customWidth="1"/>
    <col min="8744" max="8744" width="17.85546875" style="241" customWidth="1"/>
    <col min="8745" max="8745" width="15.85546875" style="241" customWidth="1"/>
    <col min="8746" max="8746" width="14.7109375" style="241" customWidth="1"/>
    <col min="8747" max="8747" width="15.85546875" style="241" customWidth="1"/>
    <col min="8748" max="8748" width="15" style="241" customWidth="1"/>
    <col min="8749" max="8749" width="18.140625" style="241" customWidth="1"/>
    <col min="8750" max="8750" width="22.42578125" style="241" customWidth="1"/>
    <col min="8751" max="8751" width="23.7109375" style="241" customWidth="1"/>
    <col min="8752" max="8752" width="14" style="241" customWidth="1"/>
    <col min="8753" max="8753" width="15" style="241" customWidth="1"/>
    <col min="8754" max="8754" width="21.28515625" style="241" customWidth="1"/>
    <col min="8755" max="8755" width="15.85546875" style="241" customWidth="1"/>
    <col min="8756" max="8756" width="18.28515625" style="241" customWidth="1"/>
    <col min="8757" max="8757" width="16.28515625" style="241" customWidth="1"/>
    <col min="8758" max="8962" width="11.42578125" style="241"/>
    <col min="8963" max="8974" width="2.7109375" style="241" customWidth="1"/>
    <col min="8975" max="8976" width="6.140625" style="241" customWidth="1"/>
    <col min="8977" max="8985" width="2.7109375" style="241" customWidth="1"/>
    <col min="8986" max="8986" width="14.7109375" style="241" customWidth="1"/>
    <col min="8987" max="8987" width="6.28515625" style="241" customWidth="1"/>
    <col min="8988" max="8998" width="2.7109375" style="241" customWidth="1"/>
    <col min="8999" max="8999" width="25.42578125" style="241" customWidth="1"/>
    <col min="9000" max="9000" width="17.85546875" style="241" customWidth="1"/>
    <col min="9001" max="9001" width="15.85546875" style="241" customWidth="1"/>
    <col min="9002" max="9002" width="14.7109375" style="241" customWidth="1"/>
    <col min="9003" max="9003" width="15.85546875" style="241" customWidth="1"/>
    <col min="9004" max="9004" width="15" style="241" customWidth="1"/>
    <col min="9005" max="9005" width="18.140625" style="241" customWidth="1"/>
    <col min="9006" max="9006" width="22.42578125" style="241" customWidth="1"/>
    <col min="9007" max="9007" width="23.7109375" style="241" customWidth="1"/>
    <col min="9008" max="9008" width="14" style="241" customWidth="1"/>
    <col min="9009" max="9009" width="15" style="241" customWidth="1"/>
    <col min="9010" max="9010" width="21.28515625" style="241" customWidth="1"/>
    <col min="9011" max="9011" width="15.85546875" style="241" customWidth="1"/>
    <col min="9012" max="9012" width="18.28515625" style="241" customWidth="1"/>
    <col min="9013" max="9013" width="16.28515625" style="241" customWidth="1"/>
    <col min="9014" max="9218" width="11.42578125" style="241"/>
    <col min="9219" max="9230" width="2.7109375" style="241" customWidth="1"/>
    <col min="9231" max="9232" width="6.140625" style="241" customWidth="1"/>
    <col min="9233" max="9241" width="2.7109375" style="241" customWidth="1"/>
    <col min="9242" max="9242" width="14.7109375" style="241" customWidth="1"/>
    <col min="9243" max="9243" width="6.28515625" style="241" customWidth="1"/>
    <col min="9244" max="9254" width="2.7109375" style="241" customWidth="1"/>
    <col min="9255" max="9255" width="25.42578125" style="241" customWidth="1"/>
    <col min="9256" max="9256" width="17.85546875" style="241" customWidth="1"/>
    <col min="9257" max="9257" width="15.85546875" style="241" customWidth="1"/>
    <col min="9258" max="9258" width="14.7109375" style="241" customWidth="1"/>
    <col min="9259" max="9259" width="15.85546875" style="241" customWidth="1"/>
    <col min="9260" max="9260" width="15" style="241" customWidth="1"/>
    <col min="9261" max="9261" width="18.140625" style="241" customWidth="1"/>
    <col min="9262" max="9262" width="22.42578125" style="241" customWidth="1"/>
    <col min="9263" max="9263" width="23.7109375" style="241" customWidth="1"/>
    <col min="9264" max="9264" width="14" style="241" customWidth="1"/>
    <col min="9265" max="9265" width="15" style="241" customWidth="1"/>
    <col min="9266" max="9266" width="21.28515625" style="241" customWidth="1"/>
    <col min="9267" max="9267" width="15.85546875" style="241" customWidth="1"/>
    <col min="9268" max="9268" width="18.28515625" style="241" customWidth="1"/>
    <col min="9269" max="9269" width="16.28515625" style="241" customWidth="1"/>
    <col min="9270" max="9474" width="11.42578125" style="241"/>
    <col min="9475" max="9486" width="2.7109375" style="241" customWidth="1"/>
    <col min="9487" max="9488" width="6.140625" style="241" customWidth="1"/>
    <col min="9489" max="9497" width="2.7109375" style="241" customWidth="1"/>
    <col min="9498" max="9498" width="14.7109375" style="241" customWidth="1"/>
    <col min="9499" max="9499" width="6.28515625" style="241" customWidth="1"/>
    <col min="9500" max="9510" width="2.7109375" style="241" customWidth="1"/>
    <col min="9511" max="9511" width="25.42578125" style="241" customWidth="1"/>
    <col min="9512" max="9512" width="17.85546875" style="241" customWidth="1"/>
    <col min="9513" max="9513" width="15.85546875" style="241" customWidth="1"/>
    <col min="9514" max="9514" width="14.7109375" style="241" customWidth="1"/>
    <col min="9515" max="9515" width="15.85546875" style="241" customWidth="1"/>
    <col min="9516" max="9516" width="15" style="241" customWidth="1"/>
    <col min="9517" max="9517" width="18.140625" style="241" customWidth="1"/>
    <col min="9518" max="9518" width="22.42578125" style="241" customWidth="1"/>
    <col min="9519" max="9519" width="23.7109375" style="241" customWidth="1"/>
    <col min="9520" max="9520" width="14" style="241" customWidth="1"/>
    <col min="9521" max="9521" width="15" style="241" customWidth="1"/>
    <col min="9522" max="9522" width="21.28515625" style="241" customWidth="1"/>
    <col min="9523" max="9523" width="15.85546875" style="241" customWidth="1"/>
    <col min="9524" max="9524" width="18.28515625" style="241" customWidth="1"/>
    <col min="9525" max="9525" width="16.28515625" style="241" customWidth="1"/>
    <col min="9526" max="9730" width="11.42578125" style="241"/>
    <col min="9731" max="9742" width="2.7109375" style="241" customWidth="1"/>
    <col min="9743" max="9744" width="6.140625" style="241" customWidth="1"/>
    <col min="9745" max="9753" width="2.7109375" style="241" customWidth="1"/>
    <col min="9754" max="9754" width="14.7109375" style="241" customWidth="1"/>
    <col min="9755" max="9755" width="6.28515625" style="241" customWidth="1"/>
    <col min="9756" max="9766" width="2.7109375" style="241" customWidth="1"/>
    <col min="9767" max="9767" width="25.42578125" style="241" customWidth="1"/>
    <col min="9768" max="9768" width="17.85546875" style="241" customWidth="1"/>
    <col min="9769" max="9769" width="15.85546875" style="241" customWidth="1"/>
    <col min="9770" max="9770" width="14.7109375" style="241" customWidth="1"/>
    <col min="9771" max="9771" width="15.85546875" style="241" customWidth="1"/>
    <col min="9772" max="9772" width="15" style="241" customWidth="1"/>
    <col min="9773" max="9773" width="18.140625" style="241" customWidth="1"/>
    <col min="9774" max="9774" width="22.42578125" style="241" customWidth="1"/>
    <col min="9775" max="9775" width="23.7109375" style="241" customWidth="1"/>
    <col min="9776" max="9776" width="14" style="241" customWidth="1"/>
    <col min="9777" max="9777" width="15" style="241" customWidth="1"/>
    <col min="9778" max="9778" width="21.28515625" style="241" customWidth="1"/>
    <col min="9779" max="9779" width="15.85546875" style="241" customWidth="1"/>
    <col min="9780" max="9780" width="18.28515625" style="241" customWidth="1"/>
    <col min="9781" max="9781" width="16.28515625" style="241" customWidth="1"/>
    <col min="9782" max="9986" width="11.42578125" style="241"/>
    <col min="9987" max="9998" width="2.7109375" style="241" customWidth="1"/>
    <col min="9999" max="10000" width="6.140625" style="241" customWidth="1"/>
    <col min="10001" max="10009" width="2.7109375" style="241" customWidth="1"/>
    <col min="10010" max="10010" width="14.7109375" style="241" customWidth="1"/>
    <col min="10011" max="10011" width="6.28515625" style="241" customWidth="1"/>
    <col min="10012" max="10022" width="2.7109375" style="241" customWidth="1"/>
    <col min="10023" max="10023" width="25.42578125" style="241" customWidth="1"/>
    <col min="10024" max="10024" width="17.85546875" style="241" customWidth="1"/>
    <col min="10025" max="10025" width="15.85546875" style="241" customWidth="1"/>
    <col min="10026" max="10026" width="14.7109375" style="241" customWidth="1"/>
    <col min="10027" max="10027" width="15.85546875" style="241" customWidth="1"/>
    <col min="10028" max="10028" width="15" style="241" customWidth="1"/>
    <col min="10029" max="10029" width="18.140625" style="241" customWidth="1"/>
    <col min="10030" max="10030" width="22.42578125" style="241" customWidth="1"/>
    <col min="10031" max="10031" width="23.7109375" style="241" customWidth="1"/>
    <col min="10032" max="10032" width="14" style="241" customWidth="1"/>
    <col min="10033" max="10033" width="15" style="241" customWidth="1"/>
    <col min="10034" max="10034" width="21.28515625" style="241" customWidth="1"/>
    <col min="10035" max="10035" width="15.85546875" style="241" customWidth="1"/>
    <col min="10036" max="10036" width="18.28515625" style="241" customWidth="1"/>
    <col min="10037" max="10037" width="16.28515625" style="241" customWidth="1"/>
    <col min="10038" max="10242" width="11.42578125" style="241"/>
    <col min="10243" max="10254" width="2.7109375" style="241" customWidth="1"/>
    <col min="10255" max="10256" width="6.140625" style="241" customWidth="1"/>
    <col min="10257" max="10265" width="2.7109375" style="241" customWidth="1"/>
    <col min="10266" max="10266" width="14.7109375" style="241" customWidth="1"/>
    <col min="10267" max="10267" width="6.28515625" style="241" customWidth="1"/>
    <col min="10268" max="10278" width="2.7109375" style="241" customWidth="1"/>
    <col min="10279" max="10279" width="25.42578125" style="241" customWidth="1"/>
    <col min="10280" max="10280" width="17.85546875" style="241" customWidth="1"/>
    <col min="10281" max="10281" width="15.85546875" style="241" customWidth="1"/>
    <col min="10282" max="10282" width="14.7109375" style="241" customWidth="1"/>
    <col min="10283" max="10283" width="15.85546875" style="241" customWidth="1"/>
    <col min="10284" max="10284" width="15" style="241" customWidth="1"/>
    <col min="10285" max="10285" width="18.140625" style="241" customWidth="1"/>
    <col min="10286" max="10286" width="22.42578125" style="241" customWidth="1"/>
    <col min="10287" max="10287" width="23.7109375" style="241" customWidth="1"/>
    <col min="10288" max="10288" width="14" style="241" customWidth="1"/>
    <col min="10289" max="10289" width="15" style="241" customWidth="1"/>
    <col min="10290" max="10290" width="21.28515625" style="241" customWidth="1"/>
    <col min="10291" max="10291" width="15.85546875" style="241" customWidth="1"/>
    <col min="10292" max="10292" width="18.28515625" style="241" customWidth="1"/>
    <col min="10293" max="10293" width="16.28515625" style="241" customWidth="1"/>
    <col min="10294" max="10498" width="11.42578125" style="241"/>
    <col min="10499" max="10510" width="2.7109375" style="241" customWidth="1"/>
    <col min="10511" max="10512" width="6.140625" style="241" customWidth="1"/>
    <col min="10513" max="10521" width="2.7109375" style="241" customWidth="1"/>
    <col min="10522" max="10522" width="14.7109375" style="241" customWidth="1"/>
    <col min="10523" max="10523" width="6.28515625" style="241" customWidth="1"/>
    <col min="10524" max="10534" width="2.7109375" style="241" customWidth="1"/>
    <col min="10535" max="10535" width="25.42578125" style="241" customWidth="1"/>
    <col min="10536" max="10536" width="17.85546875" style="241" customWidth="1"/>
    <col min="10537" max="10537" width="15.85546875" style="241" customWidth="1"/>
    <col min="10538" max="10538" width="14.7109375" style="241" customWidth="1"/>
    <col min="10539" max="10539" width="15.85546875" style="241" customWidth="1"/>
    <col min="10540" max="10540" width="15" style="241" customWidth="1"/>
    <col min="10541" max="10541" width="18.140625" style="241" customWidth="1"/>
    <col min="10542" max="10542" width="22.42578125" style="241" customWidth="1"/>
    <col min="10543" max="10543" width="23.7109375" style="241" customWidth="1"/>
    <col min="10544" max="10544" width="14" style="241" customWidth="1"/>
    <col min="10545" max="10545" width="15" style="241" customWidth="1"/>
    <col min="10546" max="10546" width="21.28515625" style="241" customWidth="1"/>
    <col min="10547" max="10547" width="15.85546875" style="241" customWidth="1"/>
    <col min="10548" max="10548" width="18.28515625" style="241" customWidth="1"/>
    <col min="10549" max="10549" width="16.28515625" style="241" customWidth="1"/>
    <col min="10550" max="10754" width="11.42578125" style="241"/>
    <col min="10755" max="10766" width="2.7109375" style="241" customWidth="1"/>
    <col min="10767" max="10768" width="6.140625" style="241" customWidth="1"/>
    <col min="10769" max="10777" width="2.7109375" style="241" customWidth="1"/>
    <col min="10778" max="10778" width="14.7109375" style="241" customWidth="1"/>
    <col min="10779" max="10779" width="6.28515625" style="241" customWidth="1"/>
    <col min="10780" max="10790" width="2.7109375" style="241" customWidth="1"/>
    <col min="10791" max="10791" width="25.42578125" style="241" customWidth="1"/>
    <col min="10792" max="10792" width="17.85546875" style="241" customWidth="1"/>
    <col min="10793" max="10793" width="15.85546875" style="241" customWidth="1"/>
    <col min="10794" max="10794" width="14.7109375" style="241" customWidth="1"/>
    <col min="10795" max="10795" width="15.85546875" style="241" customWidth="1"/>
    <col min="10796" max="10796" width="15" style="241" customWidth="1"/>
    <col min="10797" max="10797" width="18.140625" style="241" customWidth="1"/>
    <col min="10798" max="10798" width="22.42578125" style="241" customWidth="1"/>
    <col min="10799" max="10799" width="23.7109375" style="241" customWidth="1"/>
    <col min="10800" max="10800" width="14" style="241" customWidth="1"/>
    <col min="10801" max="10801" width="15" style="241" customWidth="1"/>
    <col min="10802" max="10802" width="21.28515625" style="241" customWidth="1"/>
    <col min="10803" max="10803" width="15.85546875" style="241" customWidth="1"/>
    <col min="10804" max="10804" width="18.28515625" style="241" customWidth="1"/>
    <col min="10805" max="10805" width="16.28515625" style="241" customWidth="1"/>
    <col min="10806" max="11010" width="11.42578125" style="241"/>
    <col min="11011" max="11022" width="2.7109375" style="241" customWidth="1"/>
    <col min="11023" max="11024" width="6.140625" style="241" customWidth="1"/>
    <col min="11025" max="11033" width="2.7109375" style="241" customWidth="1"/>
    <col min="11034" max="11034" width="14.7109375" style="241" customWidth="1"/>
    <col min="11035" max="11035" width="6.28515625" style="241" customWidth="1"/>
    <col min="11036" max="11046" width="2.7109375" style="241" customWidth="1"/>
    <col min="11047" max="11047" width="25.42578125" style="241" customWidth="1"/>
    <col min="11048" max="11048" width="17.85546875" style="241" customWidth="1"/>
    <col min="11049" max="11049" width="15.85546875" style="241" customWidth="1"/>
    <col min="11050" max="11050" width="14.7109375" style="241" customWidth="1"/>
    <col min="11051" max="11051" width="15.85546875" style="241" customWidth="1"/>
    <col min="11052" max="11052" width="15" style="241" customWidth="1"/>
    <col min="11053" max="11053" width="18.140625" style="241" customWidth="1"/>
    <col min="11054" max="11054" width="22.42578125" style="241" customWidth="1"/>
    <col min="11055" max="11055" width="23.7109375" style="241" customWidth="1"/>
    <col min="11056" max="11056" width="14" style="241" customWidth="1"/>
    <col min="11057" max="11057" width="15" style="241" customWidth="1"/>
    <col min="11058" max="11058" width="21.28515625" style="241" customWidth="1"/>
    <col min="11059" max="11059" width="15.85546875" style="241" customWidth="1"/>
    <col min="11060" max="11060" width="18.28515625" style="241" customWidth="1"/>
    <col min="11061" max="11061" width="16.28515625" style="241" customWidth="1"/>
    <col min="11062" max="11266" width="11.42578125" style="241"/>
    <col min="11267" max="11278" width="2.7109375" style="241" customWidth="1"/>
    <col min="11279" max="11280" width="6.140625" style="241" customWidth="1"/>
    <col min="11281" max="11289" width="2.7109375" style="241" customWidth="1"/>
    <col min="11290" max="11290" width="14.7109375" style="241" customWidth="1"/>
    <col min="11291" max="11291" width="6.28515625" style="241" customWidth="1"/>
    <col min="11292" max="11302" width="2.7109375" style="241" customWidth="1"/>
    <col min="11303" max="11303" width="25.42578125" style="241" customWidth="1"/>
    <col min="11304" max="11304" width="17.85546875" style="241" customWidth="1"/>
    <col min="11305" max="11305" width="15.85546875" style="241" customWidth="1"/>
    <col min="11306" max="11306" width="14.7109375" style="241" customWidth="1"/>
    <col min="11307" max="11307" width="15.85546875" style="241" customWidth="1"/>
    <col min="11308" max="11308" width="15" style="241" customWidth="1"/>
    <col min="11309" max="11309" width="18.140625" style="241" customWidth="1"/>
    <col min="11310" max="11310" width="22.42578125" style="241" customWidth="1"/>
    <col min="11311" max="11311" width="23.7109375" style="241" customWidth="1"/>
    <col min="11312" max="11312" width="14" style="241" customWidth="1"/>
    <col min="11313" max="11313" width="15" style="241" customWidth="1"/>
    <col min="11314" max="11314" width="21.28515625" style="241" customWidth="1"/>
    <col min="11315" max="11315" width="15.85546875" style="241" customWidth="1"/>
    <col min="11316" max="11316" width="18.28515625" style="241" customWidth="1"/>
    <col min="11317" max="11317" width="16.28515625" style="241" customWidth="1"/>
    <col min="11318" max="11522" width="11.42578125" style="241"/>
    <col min="11523" max="11534" width="2.7109375" style="241" customWidth="1"/>
    <col min="11535" max="11536" width="6.140625" style="241" customWidth="1"/>
    <col min="11537" max="11545" width="2.7109375" style="241" customWidth="1"/>
    <col min="11546" max="11546" width="14.7109375" style="241" customWidth="1"/>
    <col min="11547" max="11547" width="6.28515625" style="241" customWidth="1"/>
    <col min="11548" max="11558" width="2.7109375" style="241" customWidth="1"/>
    <col min="11559" max="11559" width="25.42578125" style="241" customWidth="1"/>
    <col min="11560" max="11560" width="17.85546875" style="241" customWidth="1"/>
    <col min="11561" max="11561" width="15.85546875" style="241" customWidth="1"/>
    <col min="11562" max="11562" width="14.7109375" style="241" customWidth="1"/>
    <col min="11563" max="11563" width="15.85546875" style="241" customWidth="1"/>
    <col min="11564" max="11564" width="15" style="241" customWidth="1"/>
    <col min="11565" max="11565" width="18.140625" style="241" customWidth="1"/>
    <col min="11566" max="11566" width="22.42578125" style="241" customWidth="1"/>
    <col min="11567" max="11567" width="23.7109375" style="241" customWidth="1"/>
    <col min="11568" max="11568" width="14" style="241" customWidth="1"/>
    <col min="11569" max="11569" width="15" style="241" customWidth="1"/>
    <col min="11570" max="11570" width="21.28515625" style="241" customWidth="1"/>
    <col min="11571" max="11571" width="15.85546875" style="241" customWidth="1"/>
    <col min="11572" max="11572" width="18.28515625" style="241" customWidth="1"/>
    <col min="11573" max="11573" width="16.28515625" style="241" customWidth="1"/>
    <col min="11574" max="11778" width="11.42578125" style="241"/>
    <col min="11779" max="11790" width="2.7109375" style="241" customWidth="1"/>
    <col min="11791" max="11792" width="6.140625" style="241" customWidth="1"/>
    <col min="11793" max="11801" width="2.7109375" style="241" customWidth="1"/>
    <col min="11802" max="11802" width="14.7109375" style="241" customWidth="1"/>
    <col min="11803" max="11803" width="6.28515625" style="241" customWidth="1"/>
    <col min="11804" max="11814" width="2.7109375" style="241" customWidth="1"/>
    <col min="11815" max="11815" width="25.42578125" style="241" customWidth="1"/>
    <col min="11816" max="11816" width="17.85546875" style="241" customWidth="1"/>
    <col min="11817" max="11817" width="15.85546875" style="241" customWidth="1"/>
    <col min="11818" max="11818" width="14.7109375" style="241" customWidth="1"/>
    <col min="11819" max="11819" width="15.85546875" style="241" customWidth="1"/>
    <col min="11820" max="11820" width="15" style="241" customWidth="1"/>
    <col min="11821" max="11821" width="18.140625" style="241" customWidth="1"/>
    <col min="11822" max="11822" width="22.42578125" style="241" customWidth="1"/>
    <col min="11823" max="11823" width="23.7109375" style="241" customWidth="1"/>
    <col min="11824" max="11824" width="14" style="241" customWidth="1"/>
    <col min="11825" max="11825" width="15" style="241" customWidth="1"/>
    <col min="11826" max="11826" width="21.28515625" style="241" customWidth="1"/>
    <col min="11827" max="11827" width="15.85546875" style="241" customWidth="1"/>
    <col min="11828" max="11828" width="18.28515625" style="241" customWidth="1"/>
    <col min="11829" max="11829" width="16.28515625" style="241" customWidth="1"/>
    <col min="11830" max="12034" width="11.42578125" style="241"/>
    <col min="12035" max="12046" width="2.7109375" style="241" customWidth="1"/>
    <col min="12047" max="12048" width="6.140625" style="241" customWidth="1"/>
    <col min="12049" max="12057" width="2.7109375" style="241" customWidth="1"/>
    <col min="12058" max="12058" width="14.7109375" style="241" customWidth="1"/>
    <col min="12059" max="12059" width="6.28515625" style="241" customWidth="1"/>
    <col min="12060" max="12070" width="2.7109375" style="241" customWidth="1"/>
    <col min="12071" max="12071" width="25.42578125" style="241" customWidth="1"/>
    <col min="12072" max="12072" width="17.85546875" style="241" customWidth="1"/>
    <col min="12073" max="12073" width="15.85546875" style="241" customWidth="1"/>
    <col min="12074" max="12074" width="14.7109375" style="241" customWidth="1"/>
    <col min="12075" max="12075" width="15.85546875" style="241" customWidth="1"/>
    <col min="12076" max="12076" width="15" style="241" customWidth="1"/>
    <col min="12077" max="12077" width="18.140625" style="241" customWidth="1"/>
    <col min="12078" max="12078" width="22.42578125" style="241" customWidth="1"/>
    <col min="12079" max="12079" width="23.7109375" style="241" customWidth="1"/>
    <col min="12080" max="12080" width="14" style="241" customWidth="1"/>
    <col min="12081" max="12081" width="15" style="241" customWidth="1"/>
    <col min="12082" max="12082" width="21.28515625" style="241" customWidth="1"/>
    <col min="12083" max="12083" width="15.85546875" style="241" customWidth="1"/>
    <col min="12084" max="12084" width="18.28515625" style="241" customWidth="1"/>
    <col min="12085" max="12085" width="16.28515625" style="241" customWidth="1"/>
    <col min="12086" max="12290" width="11.42578125" style="241"/>
    <col min="12291" max="12302" width="2.7109375" style="241" customWidth="1"/>
    <col min="12303" max="12304" width="6.140625" style="241" customWidth="1"/>
    <col min="12305" max="12313" width="2.7109375" style="241" customWidth="1"/>
    <col min="12314" max="12314" width="14.7109375" style="241" customWidth="1"/>
    <col min="12315" max="12315" width="6.28515625" style="241" customWidth="1"/>
    <col min="12316" max="12326" width="2.7109375" style="241" customWidth="1"/>
    <col min="12327" max="12327" width="25.42578125" style="241" customWidth="1"/>
    <col min="12328" max="12328" width="17.85546875" style="241" customWidth="1"/>
    <col min="12329" max="12329" width="15.85546875" style="241" customWidth="1"/>
    <col min="12330" max="12330" width="14.7109375" style="241" customWidth="1"/>
    <col min="12331" max="12331" width="15.85546875" style="241" customWidth="1"/>
    <col min="12332" max="12332" width="15" style="241" customWidth="1"/>
    <col min="12333" max="12333" width="18.140625" style="241" customWidth="1"/>
    <col min="12334" max="12334" width="22.42578125" style="241" customWidth="1"/>
    <col min="12335" max="12335" width="23.7109375" style="241" customWidth="1"/>
    <col min="12336" max="12336" width="14" style="241" customWidth="1"/>
    <col min="12337" max="12337" width="15" style="241" customWidth="1"/>
    <col min="12338" max="12338" width="21.28515625" style="241" customWidth="1"/>
    <col min="12339" max="12339" width="15.85546875" style="241" customWidth="1"/>
    <col min="12340" max="12340" width="18.28515625" style="241" customWidth="1"/>
    <col min="12341" max="12341" width="16.28515625" style="241" customWidth="1"/>
    <col min="12342" max="12546" width="11.42578125" style="241"/>
    <col min="12547" max="12558" width="2.7109375" style="241" customWidth="1"/>
    <col min="12559" max="12560" width="6.140625" style="241" customWidth="1"/>
    <col min="12561" max="12569" width="2.7109375" style="241" customWidth="1"/>
    <col min="12570" max="12570" width="14.7109375" style="241" customWidth="1"/>
    <col min="12571" max="12571" width="6.28515625" style="241" customWidth="1"/>
    <col min="12572" max="12582" width="2.7109375" style="241" customWidth="1"/>
    <col min="12583" max="12583" width="25.42578125" style="241" customWidth="1"/>
    <col min="12584" max="12584" width="17.85546875" style="241" customWidth="1"/>
    <col min="12585" max="12585" width="15.85546875" style="241" customWidth="1"/>
    <col min="12586" max="12586" width="14.7109375" style="241" customWidth="1"/>
    <col min="12587" max="12587" width="15.85546875" style="241" customWidth="1"/>
    <col min="12588" max="12588" width="15" style="241" customWidth="1"/>
    <col min="12589" max="12589" width="18.140625" style="241" customWidth="1"/>
    <col min="12590" max="12590" width="22.42578125" style="241" customWidth="1"/>
    <col min="12591" max="12591" width="23.7109375" style="241" customWidth="1"/>
    <col min="12592" max="12592" width="14" style="241" customWidth="1"/>
    <col min="12593" max="12593" width="15" style="241" customWidth="1"/>
    <col min="12594" max="12594" width="21.28515625" style="241" customWidth="1"/>
    <col min="12595" max="12595" width="15.85546875" style="241" customWidth="1"/>
    <col min="12596" max="12596" width="18.28515625" style="241" customWidth="1"/>
    <col min="12597" max="12597" width="16.28515625" style="241" customWidth="1"/>
    <col min="12598" max="12802" width="11.42578125" style="241"/>
    <col min="12803" max="12814" width="2.7109375" style="241" customWidth="1"/>
    <col min="12815" max="12816" width="6.140625" style="241" customWidth="1"/>
    <col min="12817" max="12825" width="2.7109375" style="241" customWidth="1"/>
    <col min="12826" max="12826" width="14.7109375" style="241" customWidth="1"/>
    <col min="12827" max="12827" width="6.28515625" style="241" customWidth="1"/>
    <col min="12828" max="12838" width="2.7109375" style="241" customWidth="1"/>
    <col min="12839" max="12839" width="25.42578125" style="241" customWidth="1"/>
    <col min="12840" max="12840" width="17.85546875" style="241" customWidth="1"/>
    <col min="12841" max="12841" width="15.85546875" style="241" customWidth="1"/>
    <col min="12842" max="12842" width="14.7109375" style="241" customWidth="1"/>
    <col min="12843" max="12843" width="15.85546875" style="241" customWidth="1"/>
    <col min="12844" max="12844" width="15" style="241" customWidth="1"/>
    <col min="12845" max="12845" width="18.140625" style="241" customWidth="1"/>
    <col min="12846" max="12846" width="22.42578125" style="241" customWidth="1"/>
    <col min="12847" max="12847" width="23.7109375" style="241" customWidth="1"/>
    <col min="12848" max="12848" width="14" style="241" customWidth="1"/>
    <col min="12849" max="12849" width="15" style="241" customWidth="1"/>
    <col min="12850" max="12850" width="21.28515625" style="241" customWidth="1"/>
    <col min="12851" max="12851" width="15.85546875" style="241" customWidth="1"/>
    <col min="12852" max="12852" width="18.28515625" style="241" customWidth="1"/>
    <col min="12853" max="12853" width="16.28515625" style="241" customWidth="1"/>
    <col min="12854" max="13058" width="11.42578125" style="241"/>
    <col min="13059" max="13070" width="2.7109375" style="241" customWidth="1"/>
    <col min="13071" max="13072" width="6.140625" style="241" customWidth="1"/>
    <col min="13073" max="13081" width="2.7109375" style="241" customWidth="1"/>
    <col min="13082" max="13082" width="14.7109375" style="241" customWidth="1"/>
    <col min="13083" max="13083" width="6.28515625" style="241" customWidth="1"/>
    <col min="13084" max="13094" width="2.7109375" style="241" customWidth="1"/>
    <col min="13095" max="13095" width="25.42578125" style="241" customWidth="1"/>
    <col min="13096" max="13096" width="17.85546875" style="241" customWidth="1"/>
    <col min="13097" max="13097" width="15.85546875" style="241" customWidth="1"/>
    <col min="13098" max="13098" width="14.7109375" style="241" customWidth="1"/>
    <col min="13099" max="13099" width="15.85546875" style="241" customWidth="1"/>
    <col min="13100" max="13100" width="15" style="241" customWidth="1"/>
    <col min="13101" max="13101" width="18.140625" style="241" customWidth="1"/>
    <col min="13102" max="13102" width="22.42578125" style="241" customWidth="1"/>
    <col min="13103" max="13103" width="23.7109375" style="241" customWidth="1"/>
    <col min="13104" max="13104" width="14" style="241" customWidth="1"/>
    <col min="13105" max="13105" width="15" style="241" customWidth="1"/>
    <col min="13106" max="13106" width="21.28515625" style="241" customWidth="1"/>
    <col min="13107" max="13107" width="15.85546875" style="241" customWidth="1"/>
    <col min="13108" max="13108" width="18.28515625" style="241" customWidth="1"/>
    <col min="13109" max="13109" width="16.28515625" style="241" customWidth="1"/>
    <col min="13110" max="13314" width="11.42578125" style="241"/>
    <col min="13315" max="13326" width="2.7109375" style="241" customWidth="1"/>
    <col min="13327" max="13328" width="6.140625" style="241" customWidth="1"/>
    <col min="13329" max="13337" width="2.7109375" style="241" customWidth="1"/>
    <col min="13338" max="13338" width="14.7109375" style="241" customWidth="1"/>
    <col min="13339" max="13339" width="6.28515625" style="241" customWidth="1"/>
    <col min="13340" max="13350" width="2.7109375" style="241" customWidth="1"/>
    <col min="13351" max="13351" width="25.42578125" style="241" customWidth="1"/>
    <col min="13352" max="13352" width="17.85546875" style="241" customWidth="1"/>
    <col min="13353" max="13353" width="15.85546875" style="241" customWidth="1"/>
    <col min="13354" max="13354" width="14.7109375" style="241" customWidth="1"/>
    <col min="13355" max="13355" width="15.85546875" style="241" customWidth="1"/>
    <col min="13356" max="13356" width="15" style="241" customWidth="1"/>
    <col min="13357" max="13357" width="18.140625" style="241" customWidth="1"/>
    <col min="13358" max="13358" width="22.42578125" style="241" customWidth="1"/>
    <col min="13359" max="13359" width="23.7109375" style="241" customWidth="1"/>
    <col min="13360" max="13360" width="14" style="241" customWidth="1"/>
    <col min="13361" max="13361" width="15" style="241" customWidth="1"/>
    <col min="13362" max="13362" width="21.28515625" style="241" customWidth="1"/>
    <col min="13363" max="13363" width="15.85546875" style="241" customWidth="1"/>
    <col min="13364" max="13364" width="18.28515625" style="241" customWidth="1"/>
    <col min="13365" max="13365" width="16.28515625" style="241" customWidth="1"/>
    <col min="13366" max="13570" width="11.42578125" style="241"/>
    <col min="13571" max="13582" width="2.7109375" style="241" customWidth="1"/>
    <col min="13583" max="13584" width="6.140625" style="241" customWidth="1"/>
    <col min="13585" max="13593" width="2.7109375" style="241" customWidth="1"/>
    <col min="13594" max="13594" width="14.7109375" style="241" customWidth="1"/>
    <col min="13595" max="13595" width="6.28515625" style="241" customWidth="1"/>
    <col min="13596" max="13606" width="2.7109375" style="241" customWidth="1"/>
    <col min="13607" max="13607" width="25.42578125" style="241" customWidth="1"/>
    <col min="13608" max="13608" width="17.85546875" style="241" customWidth="1"/>
    <col min="13609" max="13609" width="15.85546875" style="241" customWidth="1"/>
    <col min="13610" max="13610" width="14.7109375" style="241" customWidth="1"/>
    <col min="13611" max="13611" width="15.85546875" style="241" customWidth="1"/>
    <col min="13612" max="13612" width="15" style="241" customWidth="1"/>
    <col min="13613" max="13613" width="18.140625" style="241" customWidth="1"/>
    <col min="13614" max="13614" width="22.42578125" style="241" customWidth="1"/>
    <col min="13615" max="13615" width="23.7109375" style="241" customWidth="1"/>
    <col min="13616" max="13616" width="14" style="241" customWidth="1"/>
    <col min="13617" max="13617" width="15" style="241" customWidth="1"/>
    <col min="13618" max="13618" width="21.28515625" style="241" customWidth="1"/>
    <col min="13619" max="13619" width="15.85546875" style="241" customWidth="1"/>
    <col min="13620" max="13620" width="18.28515625" style="241" customWidth="1"/>
    <col min="13621" max="13621" width="16.28515625" style="241" customWidth="1"/>
    <col min="13622" max="13826" width="11.42578125" style="241"/>
    <col min="13827" max="13838" width="2.7109375" style="241" customWidth="1"/>
    <col min="13839" max="13840" width="6.140625" style="241" customWidth="1"/>
    <col min="13841" max="13849" width="2.7109375" style="241" customWidth="1"/>
    <col min="13850" max="13850" width="14.7109375" style="241" customWidth="1"/>
    <col min="13851" max="13851" width="6.28515625" style="241" customWidth="1"/>
    <col min="13852" max="13862" width="2.7109375" style="241" customWidth="1"/>
    <col min="13863" max="13863" width="25.42578125" style="241" customWidth="1"/>
    <col min="13864" max="13864" width="17.85546875" style="241" customWidth="1"/>
    <col min="13865" max="13865" width="15.85546875" style="241" customWidth="1"/>
    <col min="13866" max="13866" width="14.7109375" style="241" customWidth="1"/>
    <col min="13867" max="13867" width="15.85546875" style="241" customWidth="1"/>
    <col min="13868" max="13868" width="15" style="241" customWidth="1"/>
    <col min="13869" max="13869" width="18.140625" style="241" customWidth="1"/>
    <col min="13870" max="13870" width="22.42578125" style="241" customWidth="1"/>
    <col min="13871" max="13871" width="23.7109375" style="241" customWidth="1"/>
    <col min="13872" max="13872" width="14" style="241" customWidth="1"/>
    <col min="13873" max="13873" width="15" style="241" customWidth="1"/>
    <col min="13874" max="13874" width="21.28515625" style="241" customWidth="1"/>
    <col min="13875" max="13875" width="15.85546875" style="241" customWidth="1"/>
    <col min="13876" max="13876" width="18.28515625" style="241" customWidth="1"/>
    <col min="13877" max="13877" width="16.28515625" style="241" customWidth="1"/>
    <col min="13878" max="14082" width="11.42578125" style="241"/>
    <col min="14083" max="14094" width="2.7109375" style="241" customWidth="1"/>
    <col min="14095" max="14096" width="6.140625" style="241" customWidth="1"/>
    <col min="14097" max="14105" width="2.7109375" style="241" customWidth="1"/>
    <col min="14106" max="14106" width="14.7109375" style="241" customWidth="1"/>
    <col min="14107" max="14107" width="6.28515625" style="241" customWidth="1"/>
    <col min="14108" max="14118" width="2.7109375" style="241" customWidth="1"/>
    <col min="14119" max="14119" width="25.42578125" style="241" customWidth="1"/>
    <col min="14120" max="14120" width="17.85546875" style="241" customWidth="1"/>
    <col min="14121" max="14121" width="15.85546875" style="241" customWidth="1"/>
    <col min="14122" max="14122" width="14.7109375" style="241" customWidth="1"/>
    <col min="14123" max="14123" width="15.85546875" style="241" customWidth="1"/>
    <col min="14124" max="14124" width="15" style="241" customWidth="1"/>
    <col min="14125" max="14125" width="18.140625" style="241" customWidth="1"/>
    <col min="14126" max="14126" width="22.42578125" style="241" customWidth="1"/>
    <col min="14127" max="14127" width="23.7109375" style="241" customWidth="1"/>
    <col min="14128" max="14128" width="14" style="241" customWidth="1"/>
    <col min="14129" max="14129" width="15" style="241" customWidth="1"/>
    <col min="14130" max="14130" width="21.28515625" style="241" customWidth="1"/>
    <col min="14131" max="14131" width="15.85546875" style="241" customWidth="1"/>
    <col min="14132" max="14132" width="18.28515625" style="241" customWidth="1"/>
    <col min="14133" max="14133" width="16.28515625" style="241" customWidth="1"/>
    <col min="14134" max="14338" width="11.42578125" style="241"/>
    <col min="14339" max="14350" width="2.7109375" style="241" customWidth="1"/>
    <col min="14351" max="14352" width="6.140625" style="241" customWidth="1"/>
    <col min="14353" max="14361" width="2.7109375" style="241" customWidth="1"/>
    <col min="14362" max="14362" width="14.7109375" style="241" customWidth="1"/>
    <col min="14363" max="14363" width="6.28515625" style="241" customWidth="1"/>
    <col min="14364" max="14374" width="2.7109375" style="241" customWidth="1"/>
    <col min="14375" max="14375" width="25.42578125" style="241" customWidth="1"/>
    <col min="14376" max="14376" width="17.85546875" style="241" customWidth="1"/>
    <col min="14377" max="14377" width="15.85546875" style="241" customWidth="1"/>
    <col min="14378" max="14378" width="14.7109375" style="241" customWidth="1"/>
    <col min="14379" max="14379" width="15.85546875" style="241" customWidth="1"/>
    <col min="14380" max="14380" width="15" style="241" customWidth="1"/>
    <col min="14381" max="14381" width="18.140625" style="241" customWidth="1"/>
    <col min="14382" max="14382" width="22.42578125" style="241" customWidth="1"/>
    <col min="14383" max="14383" width="23.7109375" style="241" customWidth="1"/>
    <col min="14384" max="14384" width="14" style="241" customWidth="1"/>
    <col min="14385" max="14385" width="15" style="241" customWidth="1"/>
    <col min="14386" max="14386" width="21.28515625" style="241" customWidth="1"/>
    <col min="14387" max="14387" width="15.85546875" style="241" customWidth="1"/>
    <col min="14388" max="14388" width="18.28515625" style="241" customWidth="1"/>
    <col min="14389" max="14389" width="16.28515625" style="241" customWidth="1"/>
    <col min="14390" max="14594" width="11.42578125" style="241"/>
    <col min="14595" max="14606" width="2.7109375" style="241" customWidth="1"/>
    <col min="14607" max="14608" width="6.140625" style="241" customWidth="1"/>
    <col min="14609" max="14617" width="2.7109375" style="241" customWidth="1"/>
    <col min="14618" max="14618" width="14.7109375" style="241" customWidth="1"/>
    <col min="14619" max="14619" width="6.28515625" style="241" customWidth="1"/>
    <col min="14620" max="14630" width="2.7109375" style="241" customWidth="1"/>
    <col min="14631" max="14631" width="25.42578125" style="241" customWidth="1"/>
    <col min="14632" max="14632" width="17.85546875" style="241" customWidth="1"/>
    <col min="14633" max="14633" width="15.85546875" style="241" customWidth="1"/>
    <col min="14634" max="14634" width="14.7109375" style="241" customWidth="1"/>
    <col min="14635" max="14635" width="15.85546875" style="241" customWidth="1"/>
    <col min="14636" max="14636" width="15" style="241" customWidth="1"/>
    <col min="14637" max="14637" width="18.140625" style="241" customWidth="1"/>
    <col min="14638" max="14638" width="22.42578125" style="241" customWidth="1"/>
    <col min="14639" max="14639" width="23.7109375" style="241" customWidth="1"/>
    <col min="14640" max="14640" width="14" style="241" customWidth="1"/>
    <col min="14641" max="14641" width="15" style="241" customWidth="1"/>
    <col min="14642" max="14642" width="21.28515625" style="241" customWidth="1"/>
    <col min="14643" max="14643" width="15.85546875" style="241" customWidth="1"/>
    <col min="14644" max="14644" width="18.28515625" style="241" customWidth="1"/>
    <col min="14645" max="14645" width="16.28515625" style="241" customWidth="1"/>
    <col min="14646" max="14850" width="11.42578125" style="241"/>
    <col min="14851" max="14862" width="2.7109375" style="241" customWidth="1"/>
    <col min="14863" max="14864" width="6.140625" style="241" customWidth="1"/>
    <col min="14865" max="14873" width="2.7109375" style="241" customWidth="1"/>
    <col min="14874" max="14874" width="14.7109375" style="241" customWidth="1"/>
    <col min="14875" max="14875" width="6.28515625" style="241" customWidth="1"/>
    <col min="14876" max="14886" width="2.7109375" style="241" customWidth="1"/>
    <col min="14887" max="14887" width="25.42578125" style="241" customWidth="1"/>
    <col min="14888" max="14888" width="17.85546875" style="241" customWidth="1"/>
    <col min="14889" max="14889" width="15.85546875" style="241" customWidth="1"/>
    <col min="14890" max="14890" width="14.7109375" style="241" customWidth="1"/>
    <col min="14891" max="14891" width="15.85546875" style="241" customWidth="1"/>
    <col min="14892" max="14892" width="15" style="241" customWidth="1"/>
    <col min="14893" max="14893" width="18.140625" style="241" customWidth="1"/>
    <col min="14894" max="14894" width="22.42578125" style="241" customWidth="1"/>
    <col min="14895" max="14895" width="23.7109375" style="241" customWidth="1"/>
    <col min="14896" max="14896" width="14" style="241" customWidth="1"/>
    <col min="14897" max="14897" width="15" style="241" customWidth="1"/>
    <col min="14898" max="14898" width="21.28515625" style="241" customWidth="1"/>
    <col min="14899" max="14899" width="15.85546875" style="241" customWidth="1"/>
    <col min="14900" max="14900" width="18.28515625" style="241" customWidth="1"/>
    <col min="14901" max="14901" width="16.28515625" style="241" customWidth="1"/>
    <col min="14902" max="15106" width="11.42578125" style="241"/>
    <col min="15107" max="15118" width="2.7109375" style="241" customWidth="1"/>
    <col min="15119" max="15120" width="6.140625" style="241" customWidth="1"/>
    <col min="15121" max="15129" width="2.7109375" style="241" customWidth="1"/>
    <col min="15130" max="15130" width="14.7109375" style="241" customWidth="1"/>
    <col min="15131" max="15131" width="6.28515625" style="241" customWidth="1"/>
    <col min="15132" max="15142" width="2.7109375" style="241" customWidth="1"/>
    <col min="15143" max="15143" width="25.42578125" style="241" customWidth="1"/>
    <col min="15144" max="15144" width="17.85546875" style="241" customWidth="1"/>
    <col min="15145" max="15145" width="15.85546875" style="241" customWidth="1"/>
    <col min="15146" max="15146" width="14.7109375" style="241" customWidth="1"/>
    <col min="15147" max="15147" width="15.85546875" style="241" customWidth="1"/>
    <col min="15148" max="15148" width="15" style="241" customWidth="1"/>
    <col min="15149" max="15149" width="18.140625" style="241" customWidth="1"/>
    <col min="15150" max="15150" width="22.42578125" style="241" customWidth="1"/>
    <col min="15151" max="15151" width="23.7109375" style="241" customWidth="1"/>
    <col min="15152" max="15152" width="14" style="241" customWidth="1"/>
    <col min="15153" max="15153" width="15" style="241" customWidth="1"/>
    <col min="15154" max="15154" width="21.28515625" style="241" customWidth="1"/>
    <col min="15155" max="15155" width="15.85546875" style="241" customWidth="1"/>
    <col min="15156" max="15156" width="18.28515625" style="241" customWidth="1"/>
    <col min="15157" max="15157" width="16.28515625" style="241" customWidth="1"/>
    <col min="15158" max="15362" width="11.42578125" style="241"/>
    <col min="15363" max="15374" width="2.7109375" style="241" customWidth="1"/>
    <col min="15375" max="15376" width="6.140625" style="241" customWidth="1"/>
    <col min="15377" max="15385" width="2.7109375" style="241" customWidth="1"/>
    <col min="15386" max="15386" width="14.7109375" style="241" customWidth="1"/>
    <col min="15387" max="15387" width="6.28515625" style="241" customWidth="1"/>
    <col min="15388" max="15398" width="2.7109375" style="241" customWidth="1"/>
    <col min="15399" max="15399" width="25.42578125" style="241" customWidth="1"/>
    <col min="15400" max="15400" width="17.85546875" style="241" customWidth="1"/>
    <col min="15401" max="15401" width="15.85546875" style="241" customWidth="1"/>
    <col min="15402" max="15402" width="14.7109375" style="241" customWidth="1"/>
    <col min="15403" max="15403" width="15.85546875" style="241" customWidth="1"/>
    <col min="15404" max="15404" width="15" style="241" customWidth="1"/>
    <col min="15405" max="15405" width="18.140625" style="241" customWidth="1"/>
    <col min="15406" max="15406" width="22.42578125" style="241" customWidth="1"/>
    <col min="15407" max="15407" width="23.7109375" style="241" customWidth="1"/>
    <col min="15408" max="15408" width="14" style="241" customWidth="1"/>
    <col min="15409" max="15409" width="15" style="241" customWidth="1"/>
    <col min="15410" max="15410" width="21.28515625" style="241" customWidth="1"/>
    <col min="15411" max="15411" width="15.85546875" style="241" customWidth="1"/>
    <col min="15412" max="15412" width="18.28515625" style="241" customWidth="1"/>
    <col min="15413" max="15413" width="16.28515625" style="241" customWidth="1"/>
    <col min="15414" max="15618" width="11.42578125" style="241"/>
    <col min="15619" max="15630" width="2.7109375" style="241" customWidth="1"/>
    <col min="15631" max="15632" width="6.140625" style="241" customWidth="1"/>
    <col min="15633" max="15641" width="2.7109375" style="241" customWidth="1"/>
    <col min="15642" max="15642" width="14.7109375" style="241" customWidth="1"/>
    <col min="15643" max="15643" width="6.28515625" style="241" customWidth="1"/>
    <col min="15644" max="15654" width="2.7109375" style="241" customWidth="1"/>
    <col min="15655" max="15655" width="25.42578125" style="241" customWidth="1"/>
    <col min="15656" max="15656" width="17.85546875" style="241" customWidth="1"/>
    <col min="15657" max="15657" width="15.85546875" style="241" customWidth="1"/>
    <col min="15658" max="15658" width="14.7109375" style="241" customWidth="1"/>
    <col min="15659" max="15659" width="15.85546875" style="241" customWidth="1"/>
    <col min="15660" max="15660" width="15" style="241" customWidth="1"/>
    <col min="15661" max="15661" width="18.140625" style="241" customWidth="1"/>
    <col min="15662" max="15662" width="22.42578125" style="241" customWidth="1"/>
    <col min="15663" max="15663" width="23.7109375" style="241" customWidth="1"/>
    <col min="15664" max="15664" width="14" style="241" customWidth="1"/>
    <col min="15665" max="15665" width="15" style="241" customWidth="1"/>
    <col min="15666" max="15666" width="21.28515625" style="241" customWidth="1"/>
    <col min="15667" max="15667" width="15.85546875" style="241" customWidth="1"/>
    <col min="15668" max="15668" width="18.28515625" style="241" customWidth="1"/>
    <col min="15669" max="15669" width="16.28515625" style="241" customWidth="1"/>
    <col min="15670" max="15874" width="11.42578125" style="241"/>
    <col min="15875" max="15886" width="2.7109375" style="241" customWidth="1"/>
    <col min="15887" max="15888" width="6.140625" style="241" customWidth="1"/>
    <col min="15889" max="15897" width="2.7109375" style="241" customWidth="1"/>
    <col min="15898" max="15898" width="14.7109375" style="241" customWidth="1"/>
    <col min="15899" max="15899" width="6.28515625" style="241" customWidth="1"/>
    <col min="15900" max="15910" width="2.7109375" style="241" customWidth="1"/>
    <col min="15911" max="15911" width="25.42578125" style="241" customWidth="1"/>
    <col min="15912" max="15912" width="17.85546875" style="241" customWidth="1"/>
    <col min="15913" max="15913" width="15.85546875" style="241" customWidth="1"/>
    <col min="15914" max="15914" width="14.7109375" style="241" customWidth="1"/>
    <col min="15915" max="15915" width="15.85546875" style="241" customWidth="1"/>
    <col min="15916" max="15916" width="15" style="241" customWidth="1"/>
    <col min="15917" max="15917" width="18.140625" style="241" customWidth="1"/>
    <col min="15918" max="15918" width="22.42578125" style="241" customWidth="1"/>
    <col min="15919" max="15919" width="23.7109375" style="241" customWidth="1"/>
    <col min="15920" max="15920" width="14" style="241" customWidth="1"/>
    <col min="15921" max="15921" width="15" style="241" customWidth="1"/>
    <col min="15922" max="15922" width="21.28515625" style="241" customWidth="1"/>
    <col min="15923" max="15923" width="15.85546875" style="241" customWidth="1"/>
    <col min="15924" max="15924" width="18.28515625" style="241" customWidth="1"/>
    <col min="15925" max="15925" width="16.28515625" style="241" customWidth="1"/>
    <col min="15926" max="16130" width="11.42578125" style="241"/>
    <col min="16131" max="16142" width="2.7109375" style="241" customWidth="1"/>
    <col min="16143" max="16144" width="6.140625" style="241" customWidth="1"/>
    <col min="16145" max="16153" width="2.7109375" style="241" customWidth="1"/>
    <col min="16154" max="16154" width="14.7109375" style="241" customWidth="1"/>
    <col min="16155" max="16155" width="6.28515625" style="241" customWidth="1"/>
    <col min="16156" max="16166" width="2.7109375" style="241" customWidth="1"/>
    <col min="16167" max="16167" width="25.42578125" style="241" customWidth="1"/>
    <col min="16168" max="16168" width="17.85546875" style="241" customWidth="1"/>
    <col min="16169" max="16169" width="15.85546875" style="241" customWidth="1"/>
    <col min="16170" max="16170" width="14.7109375" style="241" customWidth="1"/>
    <col min="16171" max="16171" width="15.85546875" style="241" customWidth="1"/>
    <col min="16172" max="16172" width="15" style="241" customWidth="1"/>
    <col min="16173" max="16173" width="18.140625" style="241" customWidth="1"/>
    <col min="16174" max="16174" width="22.42578125" style="241" customWidth="1"/>
    <col min="16175" max="16175" width="23.7109375" style="241" customWidth="1"/>
    <col min="16176" max="16176" width="14" style="241" customWidth="1"/>
    <col min="16177" max="16177" width="15" style="241" customWidth="1"/>
    <col min="16178" max="16178" width="21.28515625" style="241" customWidth="1"/>
    <col min="16179" max="16179" width="15.85546875" style="241" customWidth="1"/>
    <col min="16180" max="16180" width="18.28515625" style="241" customWidth="1"/>
    <col min="16181" max="16181" width="16.28515625" style="241" customWidth="1"/>
    <col min="16182" max="16384" width="11.42578125" style="241"/>
  </cols>
  <sheetData>
    <row r="1" spans="3:66" s="285" customFormat="1" ht="12.95" customHeight="1">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4"/>
      <c r="AJ1" s="284"/>
      <c r="AK1" s="2378"/>
      <c r="AL1" s="2379" t="s">
        <v>9</v>
      </c>
      <c r="AM1" s="2380"/>
      <c r="AN1" s="2380"/>
      <c r="AO1" s="2380"/>
      <c r="AP1" s="2380"/>
      <c r="AQ1" s="2381"/>
      <c r="AR1" s="3939"/>
      <c r="AS1" s="3940"/>
      <c r="AT1" s="3922" t="s">
        <v>9</v>
      </c>
      <c r="AU1" s="3923"/>
      <c r="AV1" s="3923"/>
      <c r="AW1" s="3923"/>
      <c r="AX1" s="3923"/>
      <c r="AY1" s="3923"/>
      <c r="AZ1" s="3924"/>
    </row>
    <row r="2" spans="3:66" s="285" customFormat="1" ht="12.95" customHeight="1">
      <c r="C2" s="283"/>
      <c r="D2" s="283"/>
      <c r="E2" s="283"/>
      <c r="F2" s="283"/>
      <c r="G2" s="283"/>
      <c r="H2" s="283"/>
      <c r="I2" s="283"/>
      <c r="J2" s="283"/>
      <c r="K2" s="283"/>
      <c r="L2" s="283"/>
      <c r="M2" s="283"/>
      <c r="N2" s="283"/>
      <c r="O2" s="284"/>
      <c r="P2" s="284"/>
      <c r="Q2" s="284"/>
      <c r="R2" s="284"/>
      <c r="S2" s="284"/>
      <c r="T2" s="284"/>
      <c r="U2" s="284"/>
      <c r="V2" s="284"/>
      <c r="W2" s="284"/>
      <c r="X2" s="284"/>
      <c r="Y2" s="284"/>
      <c r="Z2" s="284"/>
      <c r="AA2" s="284"/>
      <c r="AB2" s="284"/>
      <c r="AC2" s="284"/>
      <c r="AD2" s="284"/>
      <c r="AE2" s="284"/>
      <c r="AF2" s="284"/>
      <c r="AG2" s="284"/>
      <c r="AH2" s="284"/>
      <c r="AI2" s="284"/>
      <c r="AJ2" s="284"/>
      <c r="AK2" s="2378"/>
      <c r="AL2" s="2382" t="s">
        <v>646</v>
      </c>
      <c r="AM2" s="2383"/>
      <c r="AN2" s="2383"/>
      <c r="AO2" s="2383"/>
      <c r="AP2" s="2383"/>
      <c r="AQ2" s="2384"/>
      <c r="AR2" s="2499"/>
      <c r="AS2" s="3941"/>
      <c r="AT2" s="3925" t="s">
        <v>220</v>
      </c>
      <c r="AU2" s="2383"/>
      <c r="AV2" s="2383"/>
      <c r="AW2" s="2383"/>
      <c r="AX2" s="2383"/>
      <c r="AY2" s="2383"/>
      <c r="AZ2" s="3926"/>
    </row>
    <row r="3" spans="3:66" s="285" customFormat="1" ht="12.95" customHeight="1">
      <c r="C3" s="283"/>
      <c r="D3" s="283"/>
      <c r="E3" s="283"/>
      <c r="F3" s="283"/>
      <c r="G3" s="283"/>
      <c r="H3" s="283"/>
      <c r="I3" s="283"/>
      <c r="J3" s="283"/>
      <c r="K3" s="283"/>
      <c r="L3" s="283"/>
      <c r="M3" s="283"/>
      <c r="N3" s="283"/>
      <c r="O3" s="284"/>
      <c r="P3" s="284"/>
      <c r="Q3" s="284"/>
      <c r="R3" s="284"/>
      <c r="S3" s="284"/>
      <c r="T3" s="284"/>
      <c r="U3" s="284"/>
      <c r="V3" s="284"/>
      <c r="W3" s="284"/>
      <c r="X3" s="284"/>
      <c r="Y3" s="284"/>
      <c r="Z3" s="284"/>
      <c r="AA3" s="284"/>
      <c r="AB3" s="284"/>
      <c r="AC3" s="284"/>
      <c r="AD3" s="284"/>
      <c r="AE3" s="284"/>
      <c r="AF3" s="284"/>
      <c r="AG3" s="284"/>
      <c r="AH3" s="284"/>
      <c r="AI3" s="284"/>
      <c r="AJ3" s="284"/>
      <c r="AK3" s="2378"/>
      <c r="AL3" s="2385" t="s">
        <v>444</v>
      </c>
      <c r="AM3" s="4146"/>
      <c r="AN3" s="4146"/>
      <c r="AO3" s="4146"/>
      <c r="AP3" s="4146"/>
      <c r="AQ3" s="2387"/>
      <c r="AR3" s="2499"/>
      <c r="AS3" s="3941"/>
      <c r="AT3" s="3925" t="s">
        <v>451</v>
      </c>
      <c r="AU3" s="2383"/>
      <c r="AV3" s="2383"/>
      <c r="AW3" s="2383"/>
      <c r="AX3" s="2383"/>
      <c r="AY3" s="2383"/>
      <c r="AZ3" s="3926"/>
      <c r="BD3" s="286"/>
      <c r="BE3" s="286"/>
      <c r="BF3" s="286"/>
      <c r="BG3" s="286"/>
      <c r="BH3" s="286"/>
      <c r="BI3" s="286"/>
      <c r="BJ3" s="286"/>
      <c r="BK3" s="286"/>
      <c r="BL3" s="286"/>
      <c r="BM3" s="286"/>
      <c r="BN3" s="286"/>
    </row>
    <row r="4" spans="3:66" s="285" customFormat="1" ht="12" customHeight="1">
      <c r="C4" s="283"/>
      <c r="D4" s="283"/>
      <c r="E4" s="283"/>
      <c r="F4" s="283"/>
      <c r="G4" s="283"/>
      <c r="H4" s="283"/>
      <c r="I4" s="283"/>
      <c r="J4" s="283"/>
      <c r="K4" s="283"/>
      <c r="L4" s="283"/>
      <c r="M4" s="283"/>
      <c r="N4" s="283"/>
      <c r="O4" s="287"/>
      <c r="P4" s="287"/>
      <c r="Q4" s="287"/>
      <c r="R4" s="287"/>
      <c r="S4" s="287"/>
      <c r="T4" s="287"/>
      <c r="U4" s="287"/>
      <c r="V4" s="287"/>
      <c r="W4" s="287"/>
      <c r="X4" s="287"/>
      <c r="Y4" s="287"/>
      <c r="Z4" s="287"/>
      <c r="AA4" s="287"/>
      <c r="AB4" s="287"/>
      <c r="AC4" s="287"/>
      <c r="AD4" s="287"/>
      <c r="AE4" s="287"/>
      <c r="AF4" s="287"/>
      <c r="AG4" s="287"/>
      <c r="AH4" s="287"/>
      <c r="AI4" s="288"/>
      <c r="AJ4" s="288"/>
      <c r="AK4" s="2378"/>
      <c r="AL4" s="2956" t="s">
        <v>221</v>
      </c>
      <c r="AM4" s="2956"/>
      <c r="AN4" s="2956"/>
      <c r="AO4" s="2956"/>
      <c r="AP4" s="2388" t="s">
        <v>578</v>
      </c>
      <c r="AQ4" s="2390"/>
      <c r="AR4" s="2499"/>
      <c r="AS4" s="3941"/>
      <c r="AT4" s="3927" t="s">
        <v>221</v>
      </c>
      <c r="AU4" s="3928"/>
      <c r="AV4" s="3928"/>
      <c r="AW4" s="3929"/>
      <c r="AX4" s="3937" t="s">
        <v>222</v>
      </c>
      <c r="AY4" s="3937"/>
      <c r="AZ4" s="3938"/>
    </row>
    <row r="5" spans="3:66" s="285" customFormat="1" ht="12" customHeight="1">
      <c r="C5" s="283"/>
      <c r="D5" s="283"/>
      <c r="E5" s="283"/>
      <c r="F5" s="283"/>
      <c r="G5" s="283"/>
      <c r="H5" s="283"/>
      <c r="I5" s="283"/>
      <c r="J5" s="283"/>
      <c r="K5" s="283"/>
      <c r="L5" s="283"/>
      <c r="M5" s="283"/>
      <c r="N5" s="283"/>
      <c r="O5" s="287"/>
      <c r="P5" s="287"/>
      <c r="Q5" s="287"/>
      <c r="R5" s="287"/>
      <c r="S5" s="287"/>
      <c r="T5" s="287"/>
      <c r="U5" s="287"/>
      <c r="V5" s="287"/>
      <c r="W5" s="287"/>
      <c r="X5" s="287"/>
      <c r="Y5" s="287"/>
      <c r="Z5" s="287"/>
      <c r="AA5" s="287"/>
      <c r="AB5" s="287"/>
      <c r="AC5" s="287"/>
      <c r="AD5" s="287"/>
      <c r="AE5" s="287"/>
      <c r="AF5" s="287"/>
      <c r="AG5" s="287"/>
      <c r="AH5" s="287"/>
      <c r="AI5" s="288"/>
      <c r="AJ5" s="288"/>
      <c r="AK5" s="4145"/>
      <c r="AL5" s="4147" t="s">
        <v>638</v>
      </c>
      <c r="AM5" s="4148"/>
      <c r="AN5" s="4148"/>
      <c r="AO5" s="4148"/>
      <c r="AP5" s="4148"/>
      <c r="AQ5" s="4149"/>
      <c r="AR5" s="3942"/>
      <c r="AS5" s="3943"/>
      <c r="AT5" s="3930" t="s">
        <v>26</v>
      </c>
      <c r="AU5" s="3931"/>
      <c r="AV5" s="3931"/>
      <c r="AW5" s="3931"/>
      <c r="AX5" s="3931"/>
      <c r="AY5" s="3931"/>
      <c r="AZ5" s="3932"/>
    </row>
    <row r="6" spans="3:66" s="285" customFormat="1" ht="14.1" customHeight="1">
      <c r="C6" s="283"/>
      <c r="D6" s="283"/>
      <c r="E6" s="283"/>
      <c r="F6" s="283"/>
      <c r="G6" s="283"/>
      <c r="H6" s="283"/>
      <c r="I6" s="283"/>
      <c r="J6" s="283"/>
      <c r="K6" s="283"/>
      <c r="L6" s="283"/>
      <c r="M6" s="283"/>
      <c r="N6" s="283"/>
      <c r="O6" s="289"/>
      <c r="P6" s="289"/>
      <c r="Q6" s="289"/>
      <c r="R6" s="289"/>
      <c r="S6" s="289"/>
      <c r="T6" s="289"/>
      <c r="U6" s="289"/>
      <c r="V6" s="289"/>
      <c r="W6" s="289"/>
      <c r="X6" s="289"/>
      <c r="Y6" s="289"/>
      <c r="Z6" s="289"/>
      <c r="AA6" s="289"/>
      <c r="AB6" s="289"/>
      <c r="AC6" s="289"/>
      <c r="AD6" s="289"/>
      <c r="AE6" s="289"/>
      <c r="AF6" s="289"/>
      <c r="AG6" s="289"/>
      <c r="AH6" s="289"/>
      <c r="AI6" s="290"/>
      <c r="AJ6" s="290"/>
      <c r="AK6" s="21" t="s">
        <v>5</v>
      </c>
      <c r="AL6" s="4150" t="str">
        <f>IF('Gradacion '!E6="","",+'Gradacion '!E6)</f>
        <v/>
      </c>
      <c r="AM6" s="4150"/>
      <c r="AN6" s="4150"/>
      <c r="AO6" s="947" t="s">
        <v>324</v>
      </c>
      <c r="AP6" s="663"/>
      <c r="AQ6" s="948"/>
      <c r="AR6" s="807" t="s">
        <v>5</v>
      </c>
      <c r="AS6" s="3935" t="str">
        <f>+AL6</f>
        <v/>
      </c>
      <c r="AT6" s="3935"/>
      <c r="AU6" s="3935"/>
      <c r="AV6" s="3935"/>
      <c r="AW6" s="3935"/>
      <c r="AX6" s="1573" t="s">
        <v>324</v>
      </c>
      <c r="AY6" s="1573"/>
      <c r="AZ6" s="319" t="s">
        <v>343</v>
      </c>
    </row>
    <row r="7" spans="3:66" s="285" customFormat="1" ht="14.1" customHeight="1">
      <c r="C7" s="283"/>
      <c r="D7" s="283"/>
      <c r="E7" s="283"/>
      <c r="F7" s="283"/>
      <c r="G7" s="283"/>
      <c r="H7" s="283"/>
      <c r="I7" s="283"/>
      <c r="J7" s="283"/>
      <c r="K7" s="283"/>
      <c r="L7" s="283"/>
      <c r="M7" s="283"/>
      <c r="N7" s="283"/>
      <c r="O7" s="289"/>
      <c r="P7" s="289"/>
      <c r="Q7" s="289"/>
      <c r="R7" s="289"/>
      <c r="S7" s="289"/>
      <c r="T7" s="289"/>
      <c r="U7" s="289"/>
      <c r="V7" s="289"/>
      <c r="W7" s="289"/>
      <c r="X7" s="289"/>
      <c r="Y7" s="289"/>
      <c r="Z7" s="289"/>
      <c r="AA7" s="289"/>
      <c r="AB7" s="289"/>
      <c r="AC7" s="289"/>
      <c r="AD7" s="289"/>
      <c r="AE7" s="289"/>
      <c r="AF7" s="289"/>
      <c r="AG7" s="289"/>
      <c r="AH7" s="289"/>
      <c r="AI7" s="290"/>
      <c r="AJ7" s="290"/>
      <c r="AK7" s="22" t="s">
        <v>223</v>
      </c>
      <c r="AL7" s="47" t="str">
        <f>IF('Gradacion '!E7="","",+'Gradacion '!E7)</f>
        <v/>
      </c>
      <c r="AM7" s="48" t="s">
        <v>18</v>
      </c>
      <c r="AN7" s="951" t="str">
        <f>IF('Gradacion '!O7="","",'Gradacion '!O7)</f>
        <v/>
      </c>
      <c r="AO7" s="952" t="s">
        <v>40</v>
      </c>
      <c r="AP7" s="952"/>
      <c r="AQ7" s="822" t="str">
        <f>IF('Gradacion '!AB7="","",+'Gradacion '!AB7)</f>
        <v/>
      </c>
      <c r="AR7" s="807" t="s">
        <v>223</v>
      </c>
      <c r="AS7" s="3935" t="str">
        <f>+AL7</f>
        <v/>
      </c>
      <c r="AT7" s="3935"/>
      <c r="AU7" s="3935"/>
      <c r="AV7" s="3935"/>
      <c r="AW7" s="3935"/>
      <c r="AX7" s="3934" t="s">
        <v>19</v>
      </c>
      <c r="AY7" s="3934"/>
      <c r="AZ7" s="35" t="e">
        <f>+#REF!</f>
        <v>#REF!</v>
      </c>
    </row>
    <row r="8" spans="3:66" s="285" customFormat="1" ht="14.1" customHeight="1">
      <c r="C8" s="283"/>
      <c r="D8" s="283"/>
      <c r="E8" s="283"/>
      <c r="F8" s="283"/>
      <c r="G8" s="283"/>
      <c r="H8" s="283"/>
      <c r="I8" s="283"/>
      <c r="J8" s="283"/>
      <c r="K8" s="283"/>
      <c r="L8" s="283"/>
      <c r="M8" s="283"/>
      <c r="N8" s="283"/>
      <c r="O8" s="289"/>
      <c r="P8" s="289"/>
      <c r="Q8" s="289"/>
      <c r="R8" s="289"/>
      <c r="S8" s="289"/>
      <c r="T8" s="289"/>
      <c r="U8" s="289"/>
      <c r="V8" s="289"/>
      <c r="W8" s="289"/>
      <c r="X8" s="289"/>
      <c r="Y8" s="289"/>
      <c r="Z8" s="289"/>
      <c r="AA8" s="289"/>
      <c r="AB8" s="289"/>
      <c r="AC8" s="289"/>
      <c r="AD8" s="289"/>
      <c r="AE8" s="289"/>
      <c r="AF8" s="289"/>
      <c r="AG8" s="289"/>
      <c r="AH8" s="289"/>
      <c r="AI8" s="290"/>
      <c r="AJ8" s="290"/>
      <c r="AK8" s="22" t="s">
        <v>465</v>
      </c>
      <c r="AL8" s="1040" t="str">
        <f>IF('Gradacion '!E8="","",+'Gradacion '!E8)</f>
        <v/>
      </c>
      <c r="AM8" s="954" t="s">
        <v>19</v>
      </c>
      <c r="AN8" s="959" t="str">
        <f>IF('Gradacion '!O8="","",'Gradacion '!O8)</f>
        <v/>
      </c>
      <c r="AO8" s="4151" t="s">
        <v>407</v>
      </c>
      <c r="AP8" s="4151"/>
      <c r="AQ8" s="922" t="str">
        <f>IF('Gradacion '!AB8="","",+'Gradacion '!AB8)</f>
        <v/>
      </c>
      <c r="AR8" s="807" t="s">
        <v>6</v>
      </c>
      <c r="AS8" s="3935" t="str">
        <f>+AL8</f>
        <v/>
      </c>
      <c r="AT8" s="3935"/>
      <c r="AU8" s="3935"/>
      <c r="AV8" s="3935"/>
      <c r="AW8" s="3935"/>
      <c r="AX8" s="3934" t="s">
        <v>40</v>
      </c>
      <c r="AY8" s="3934"/>
      <c r="AZ8" s="36" t="str">
        <f>+AQ7</f>
        <v/>
      </c>
      <c r="BA8" s="291"/>
    </row>
    <row r="9" spans="3:66" s="285" customFormat="1" ht="14.1" customHeight="1">
      <c r="C9" s="283"/>
      <c r="D9" s="283"/>
      <c r="E9" s="283"/>
      <c r="F9" s="283"/>
      <c r="G9" s="283"/>
      <c r="H9" s="283"/>
      <c r="I9" s="283"/>
      <c r="J9" s="283"/>
      <c r="K9" s="283"/>
      <c r="L9" s="283"/>
      <c r="M9" s="283"/>
      <c r="N9" s="283"/>
      <c r="O9" s="289"/>
      <c r="P9" s="289"/>
      <c r="Q9" s="289"/>
      <c r="R9" s="289"/>
      <c r="S9" s="289"/>
      <c r="T9" s="289"/>
      <c r="U9" s="289"/>
      <c r="V9" s="289"/>
      <c r="W9" s="289"/>
      <c r="X9" s="289"/>
      <c r="Y9" s="289"/>
      <c r="Z9" s="289"/>
      <c r="AA9" s="289"/>
      <c r="AB9" s="289"/>
      <c r="AC9" s="289"/>
      <c r="AD9" s="289"/>
      <c r="AE9" s="289"/>
      <c r="AF9" s="289"/>
      <c r="AG9" s="289"/>
      <c r="AH9" s="289"/>
      <c r="AI9" s="290"/>
      <c r="AJ9" s="290"/>
      <c r="AK9" s="26" t="s">
        <v>6</v>
      </c>
      <c r="AL9" s="2957" t="str">
        <f>IF('Gradacion '!E9="","",+'Gradacion '!E9)</f>
        <v/>
      </c>
      <c r="AM9" s="2957"/>
      <c r="AN9" s="2957"/>
      <c r="AO9" s="962" t="s">
        <v>633</v>
      </c>
      <c r="AP9" s="963"/>
      <c r="AQ9" s="822" t="str">
        <f>IF('Gradacion '!AB9="","",+'Gradacion '!AB9)</f>
        <v/>
      </c>
      <c r="AR9" s="819" t="s">
        <v>18</v>
      </c>
      <c r="AS9" s="3936" t="str">
        <f>+AL9</f>
        <v/>
      </c>
      <c r="AT9" s="3936"/>
      <c r="AU9" s="3936"/>
      <c r="AV9" s="3936"/>
      <c r="AW9" s="3936"/>
      <c r="AX9" s="3933" t="s">
        <v>407</v>
      </c>
      <c r="AY9" s="3933"/>
      <c r="AZ9" s="700" t="str">
        <f>+AQ8</f>
        <v/>
      </c>
    </row>
    <row r="10" spans="3:66" s="285" customFormat="1" ht="33" customHeight="1">
      <c r="AK10" s="28" t="s">
        <v>224</v>
      </c>
      <c r="AL10" s="899" t="str">
        <f>IF(K38="","",K38)</f>
        <v/>
      </c>
      <c r="AM10" s="29" t="s">
        <v>225</v>
      </c>
      <c r="AN10" s="899" t="str">
        <f>IF(Z38="","",Z38)</f>
        <v/>
      </c>
      <c r="AO10" s="4141" t="s">
        <v>226</v>
      </c>
      <c r="AP10" s="4142"/>
      <c r="AQ10" s="900" t="str">
        <f>IF(R38="","",R38)</f>
        <v/>
      </c>
      <c r="AR10" s="3648" t="s">
        <v>227</v>
      </c>
      <c r="AS10" s="3648"/>
      <c r="AT10" s="3648"/>
      <c r="AU10" s="3648"/>
      <c r="AV10" s="3648"/>
      <c r="AW10" s="34">
        <v>1</v>
      </c>
      <c r="AX10" s="479">
        <v>2</v>
      </c>
      <c r="AY10" s="480"/>
      <c r="AZ10" s="481">
        <v>3</v>
      </c>
    </row>
    <row r="11" spans="3:66" s="285" customFormat="1" ht="12" customHeight="1">
      <c r="C11" s="292"/>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3"/>
      <c r="AJ11" s="293"/>
      <c r="AK11" s="27" t="s">
        <v>446</v>
      </c>
      <c r="AL11" s="4143">
        <v>1</v>
      </c>
      <c r="AM11" s="4144"/>
      <c r="AN11" s="4143">
        <v>2</v>
      </c>
      <c r="AO11" s="4144"/>
      <c r="AP11" s="4143">
        <v>3</v>
      </c>
      <c r="AQ11" s="4144"/>
      <c r="AR11" s="3980" t="s">
        <v>450</v>
      </c>
      <c r="AS11" s="3980"/>
      <c r="AT11" s="552"/>
      <c r="AU11" s="3955" t="s">
        <v>431</v>
      </c>
      <c r="AV11" s="3956"/>
      <c r="AW11" s="482" t="str">
        <f>IF(AL12="","",(AL12*$M$21*$M$19*$M20/R26))</f>
        <v/>
      </c>
      <c r="AX11" s="483" t="str">
        <f>IF(AN12="","",(AN12*$M$21*$M$19*$M20/W26))</f>
        <v/>
      </c>
      <c r="AY11" s="484"/>
      <c r="AZ11" s="485" t="str">
        <f>IF(AP12="","",(AP12*$M$21*$M$19*$M20/AB26))</f>
        <v/>
      </c>
    </row>
    <row r="12" spans="3:66" s="285" customFormat="1" ht="12" customHeight="1">
      <c r="C12" s="292"/>
      <c r="D12" s="292"/>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3"/>
      <c r="AJ12" s="293"/>
      <c r="AK12" s="25" t="s">
        <v>445</v>
      </c>
      <c r="AL12" s="4137" t="str">
        <f>IF(R29="","",R29)</f>
        <v/>
      </c>
      <c r="AM12" s="4138"/>
      <c r="AN12" s="4137" t="str">
        <f>IF(W29="","",W29)</f>
        <v/>
      </c>
      <c r="AO12" s="4138"/>
      <c r="AP12" s="4137" t="str">
        <f>IF(AB29="","",AB29)</f>
        <v/>
      </c>
      <c r="AQ12" s="4138"/>
      <c r="AR12" s="3665" t="s">
        <v>228</v>
      </c>
      <c r="AS12" s="3665"/>
      <c r="AT12" s="544"/>
      <c r="AU12" s="450" t="s">
        <v>477</v>
      </c>
      <c r="AV12" s="451" t="s">
        <v>91</v>
      </c>
      <c r="AW12" s="535" t="str">
        <f>IF(R30="","",R30)</f>
        <v/>
      </c>
      <c r="AX12" s="536" t="str">
        <f>IF(W30="","",W30)</f>
        <v/>
      </c>
      <c r="AY12" s="537"/>
      <c r="AZ12" s="530" t="str">
        <f>IF(AB30="","",AB30)</f>
        <v/>
      </c>
    </row>
    <row r="13" spans="3:66" s="285" customFormat="1" ht="12" customHeight="1">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3"/>
      <c r="AJ13" s="293"/>
      <c r="AK13" s="25" t="s">
        <v>229</v>
      </c>
      <c r="AL13" s="4139" t="str">
        <f>IF(OR(R37="", R36=""),"",(R37-R36)/(116.43)*100)</f>
        <v/>
      </c>
      <c r="AM13" s="4140"/>
      <c r="AN13" s="4139" t="str">
        <f>IF(OR(W37="",W36=""),"",(W37-W36)/(116.43)*100)</f>
        <v/>
      </c>
      <c r="AO13" s="4140"/>
      <c r="AP13" s="4139" t="str">
        <f>IF(OR(AB37="",AB36=""),"",(AB37-AB36)/(116.43)*100)</f>
        <v/>
      </c>
      <c r="AQ13" s="4140"/>
      <c r="AR13" s="3979" t="s">
        <v>230</v>
      </c>
      <c r="AS13" s="3979"/>
      <c r="AT13" s="551"/>
      <c r="AU13" s="452" t="s">
        <v>478</v>
      </c>
      <c r="AV13" s="32" t="s">
        <v>91</v>
      </c>
      <c r="AW13" s="538" t="str">
        <f>IF(R25="","",R25)</f>
        <v/>
      </c>
      <c r="AX13" s="528" t="str">
        <f>IF(W25="","",W25)</f>
        <v/>
      </c>
      <c r="AY13" s="529"/>
      <c r="AZ13" s="530" t="str">
        <f>IF(AB25="","",AB25)</f>
        <v/>
      </c>
    </row>
    <row r="14" spans="3:66" s="285" customFormat="1" ht="12" customHeight="1">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3"/>
      <c r="AJ14" s="293"/>
      <c r="AK14" s="3988" t="s">
        <v>472</v>
      </c>
      <c r="AL14" s="3986" t="s">
        <v>604</v>
      </c>
      <c r="AM14" s="3984" t="s">
        <v>605</v>
      </c>
      <c r="AN14" s="3986" t="s">
        <v>604</v>
      </c>
      <c r="AO14" s="3984" t="s">
        <v>605</v>
      </c>
      <c r="AP14" s="3986" t="s">
        <v>604</v>
      </c>
      <c r="AQ14" s="3984" t="s">
        <v>605</v>
      </c>
      <c r="AR14" s="3979" t="s">
        <v>231</v>
      </c>
      <c r="AS14" s="3979"/>
      <c r="AT14" s="551"/>
      <c r="AU14" s="453" t="s">
        <v>434</v>
      </c>
      <c r="AV14" s="453" t="s">
        <v>91</v>
      </c>
      <c r="AW14" s="539" t="str">
        <f>IF(OR(AW12="",AW13=""),"",AW12-AW13)</f>
        <v/>
      </c>
      <c r="AX14" s="536" t="str">
        <f>IF(OR(AX12="",AX13=""),"",AX12-AX13)</f>
        <v/>
      </c>
      <c r="AY14" s="537"/>
      <c r="AZ14" s="530" t="str">
        <f>IF(OR(AZ12="",AZ13=""),"",AZ12-AZ13)</f>
        <v/>
      </c>
      <c r="BA14" s="294"/>
    </row>
    <row r="15" spans="3:66" s="285" customFormat="1" ht="12" customHeight="1">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3"/>
      <c r="AJ15" s="293"/>
      <c r="AK15" s="3989"/>
      <c r="AL15" s="3987"/>
      <c r="AM15" s="3985"/>
      <c r="AN15" s="3987"/>
      <c r="AO15" s="3985"/>
      <c r="AP15" s="3987"/>
      <c r="AQ15" s="3985"/>
      <c r="AR15" s="3979" t="s">
        <v>232</v>
      </c>
      <c r="AS15" s="3979"/>
      <c r="AT15" s="551"/>
      <c r="AU15" s="452" t="s">
        <v>485</v>
      </c>
      <c r="AV15" s="453" t="s">
        <v>233</v>
      </c>
      <c r="AW15" s="489" t="str">
        <f>IF(R26="","",R26)</f>
        <v/>
      </c>
      <c r="AX15" s="487" t="str">
        <f>IF(W26="","",W26)</f>
        <v/>
      </c>
      <c r="AY15" s="488"/>
      <c r="AZ15" s="490" t="str">
        <f>IF(AB26="","",AB26)</f>
        <v/>
      </c>
      <c r="BA15" s="295"/>
      <c r="BB15" s="294"/>
    </row>
    <row r="16" spans="3:66" s="285" customFormat="1" ht="11.1" customHeight="1">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3"/>
      <c r="AJ16" s="293"/>
      <c r="AK16" s="71">
        <v>0</v>
      </c>
      <c r="AL16" s="23" t="str">
        <f>IF(R41="","",224.808*R41)</f>
        <v/>
      </c>
      <c r="AM16" s="24" t="str">
        <f>+IF(AL16="","",AL16/3)</f>
        <v/>
      </c>
      <c r="AN16" s="23" t="str">
        <f>IF(W41="","",224.808*W41)</f>
        <v/>
      </c>
      <c r="AO16" s="24" t="str">
        <f>+IF(AN16="","",AN16/3)</f>
        <v/>
      </c>
      <c r="AP16" s="23" t="str">
        <f>IF(AB41="","",224.808*AB41)</f>
        <v/>
      </c>
      <c r="AQ16" s="24" t="str">
        <f>+IF(AP16="","",AP16/3)</f>
        <v/>
      </c>
      <c r="AR16" s="3979" t="s">
        <v>234</v>
      </c>
      <c r="AS16" s="3979"/>
      <c r="AT16" s="551"/>
      <c r="AU16" s="452" t="s">
        <v>486</v>
      </c>
      <c r="AV16" s="453" t="s">
        <v>91</v>
      </c>
      <c r="AW16" s="486" t="str">
        <f>IF(AW14="","",AW14/(1+AW24%))</f>
        <v/>
      </c>
      <c r="AX16" s="487" t="str">
        <f>IF(AX14="","",AX14/(1+AX24%))</f>
        <v/>
      </c>
      <c r="AY16" s="488"/>
      <c r="AZ16" s="490" t="str">
        <f>IF(AZ14="","",AZ14/(1+AZ24%))</f>
        <v/>
      </c>
      <c r="BA16" s="296" t="e">
        <f>+((AW12-AW13)/(1+AW24%))</f>
        <v>#VALUE!</v>
      </c>
      <c r="BB16" s="294"/>
    </row>
    <row r="17" spans="3:54" s="285" customFormat="1" ht="11.1" customHeight="1">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3"/>
      <c r="AJ17" s="293"/>
      <c r="AK17" s="71">
        <f t="shared" ref="AK17:AK27" si="0">+K42</f>
        <v>2.5000000000000001E-2</v>
      </c>
      <c r="AL17" s="23" t="str">
        <f t="shared" ref="AL17:AL27" si="1">IF(R42="","",224.808*R42)</f>
        <v/>
      </c>
      <c r="AM17" s="24" t="str">
        <f t="shared" ref="AM17:AM27" si="2">+IF(AL17="","",AL17/3)</f>
        <v/>
      </c>
      <c r="AN17" s="23" t="str">
        <f t="shared" ref="AN17:AN27" si="3">IF(W42="","",224.808*W42)</f>
        <v/>
      </c>
      <c r="AO17" s="24" t="str">
        <f t="shared" ref="AO17:AO27" si="4">+IF(AN17="","",AN17/3)</f>
        <v/>
      </c>
      <c r="AP17" s="23" t="str">
        <f t="shared" ref="AP17:AP27" si="5">IF(AB42="","",224.808*AB42)</f>
        <v/>
      </c>
      <c r="AQ17" s="24" t="str">
        <f t="shared" ref="AQ17:AQ27" si="6">+IF(AP17="","",AP17/3)</f>
        <v/>
      </c>
      <c r="AR17" s="3981" t="s">
        <v>449</v>
      </c>
      <c r="AS17" s="3981"/>
      <c r="AT17" s="553"/>
      <c r="AU17" s="454" t="s">
        <v>476</v>
      </c>
      <c r="AV17" s="455" t="s">
        <v>235</v>
      </c>
      <c r="AW17" s="491" t="str">
        <f>IF(AW14="","",AW14*1000/AW15)</f>
        <v/>
      </c>
      <c r="AX17" s="492" t="str">
        <f>IF(AX14="","",AX14*1000/AX15)</f>
        <v/>
      </c>
      <c r="AY17" s="493"/>
      <c r="AZ17" s="494" t="str">
        <f>IF(AZ14="","",AZ14*1000/AZ15)</f>
        <v/>
      </c>
      <c r="BA17" s="294" t="e">
        <f>+(AW16*1000)/AW15</f>
        <v>#VALUE!</v>
      </c>
      <c r="BB17" s="294"/>
    </row>
    <row r="18" spans="3:54" s="285" customFormat="1" ht="11.1" customHeight="1">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3"/>
      <c r="AJ18" s="293"/>
      <c r="AK18" s="71">
        <f t="shared" si="0"/>
        <v>0.05</v>
      </c>
      <c r="AL18" s="23" t="str">
        <f t="shared" si="1"/>
        <v/>
      </c>
      <c r="AM18" s="24" t="str">
        <f t="shared" si="2"/>
        <v/>
      </c>
      <c r="AN18" s="23" t="str">
        <f t="shared" si="3"/>
        <v/>
      </c>
      <c r="AO18" s="24" t="str">
        <f t="shared" si="4"/>
        <v/>
      </c>
      <c r="AP18" s="23" t="str">
        <f t="shared" si="5"/>
        <v/>
      </c>
      <c r="AQ18" s="24" t="str">
        <f t="shared" si="6"/>
        <v/>
      </c>
      <c r="AR18" s="3974" t="s">
        <v>236</v>
      </c>
      <c r="AS18" s="3974"/>
      <c r="AT18" s="3974"/>
      <c r="AU18" s="3974"/>
      <c r="AV18" s="3974"/>
      <c r="AW18" s="3974"/>
      <c r="AX18" s="3974"/>
      <c r="AY18" s="3974"/>
      <c r="AZ18" s="3975"/>
    </row>
    <row r="19" spans="3:54" s="285" customFormat="1" ht="11.1" customHeight="1">
      <c r="C19" s="292"/>
      <c r="D19" s="292"/>
      <c r="E19" s="292" t="s">
        <v>608</v>
      </c>
      <c r="F19" s="292"/>
      <c r="G19" s="292"/>
      <c r="H19" s="292"/>
      <c r="I19" s="292"/>
      <c r="J19" s="292"/>
      <c r="K19" s="292"/>
      <c r="L19" s="292"/>
      <c r="M19" s="292">
        <v>4.5359999999999996</v>
      </c>
      <c r="N19" s="292"/>
      <c r="O19" s="292"/>
      <c r="P19" s="292"/>
      <c r="Q19" s="292"/>
      <c r="R19" s="292"/>
      <c r="S19" s="292"/>
      <c r="T19" s="292"/>
      <c r="U19" s="292"/>
      <c r="V19" s="292"/>
      <c r="W19" s="292"/>
      <c r="X19" s="292"/>
      <c r="Y19" s="292"/>
      <c r="Z19" s="292"/>
      <c r="AA19" s="292"/>
      <c r="AB19" s="292"/>
      <c r="AC19" s="292"/>
      <c r="AD19" s="292"/>
      <c r="AE19" s="292"/>
      <c r="AF19" s="292"/>
      <c r="AG19" s="292"/>
      <c r="AH19" s="292"/>
      <c r="AI19" s="293"/>
      <c r="AJ19" s="293"/>
      <c r="AK19" s="71">
        <f t="shared" si="0"/>
        <v>7.4999999999999997E-2</v>
      </c>
      <c r="AL19" s="23" t="str">
        <f t="shared" si="1"/>
        <v/>
      </c>
      <c r="AM19" s="24" t="str">
        <f t="shared" si="2"/>
        <v/>
      </c>
      <c r="AN19" s="23" t="str">
        <f t="shared" si="3"/>
        <v/>
      </c>
      <c r="AO19" s="24" t="str">
        <f t="shared" si="4"/>
        <v/>
      </c>
      <c r="AP19" s="23" t="str">
        <f t="shared" si="5"/>
        <v/>
      </c>
      <c r="AQ19" s="24" t="str">
        <f t="shared" si="6"/>
        <v/>
      </c>
      <c r="AR19" s="3978" t="s">
        <v>238</v>
      </c>
      <c r="AS19" s="3978"/>
      <c r="AT19" s="550"/>
      <c r="AU19" s="456" t="s">
        <v>482</v>
      </c>
      <c r="AV19" s="457" t="s">
        <v>91</v>
      </c>
      <c r="AW19" s="523" t="str">
        <f>IF(R32="","",R32)</f>
        <v/>
      </c>
      <c r="AX19" s="524" t="str">
        <f>IF(W32="","",W32)</f>
        <v/>
      </c>
      <c r="AY19" s="525"/>
      <c r="AZ19" s="526" t="str">
        <f>IF(AB32="","",AB32)</f>
        <v/>
      </c>
    </row>
    <row r="20" spans="3:54" ht="11.1" customHeight="1">
      <c r="C20" s="297"/>
      <c r="D20" s="297"/>
      <c r="E20" s="718" t="s">
        <v>237</v>
      </c>
      <c r="F20" s="718"/>
      <c r="G20" s="718"/>
      <c r="H20" s="718"/>
      <c r="I20" s="718"/>
      <c r="J20" s="718"/>
      <c r="K20" s="718"/>
      <c r="L20" s="297"/>
      <c r="M20" s="297">
        <v>45.72</v>
      </c>
      <c r="N20" s="297"/>
      <c r="O20" s="297"/>
      <c r="P20" s="297"/>
      <c r="Q20" s="297"/>
      <c r="R20" s="297"/>
      <c r="S20" s="297"/>
      <c r="T20" s="297"/>
      <c r="U20" s="297"/>
      <c r="V20" s="297"/>
      <c r="W20" s="297"/>
      <c r="X20" s="297"/>
      <c r="Y20" s="297"/>
      <c r="Z20" s="297"/>
      <c r="AA20" s="297"/>
      <c r="AB20" s="297"/>
      <c r="AC20" s="297"/>
      <c r="AD20" s="297"/>
      <c r="AE20" s="297"/>
      <c r="AF20" s="297"/>
      <c r="AG20" s="297"/>
      <c r="AH20" s="297"/>
      <c r="AI20" s="298"/>
      <c r="AJ20" s="299"/>
      <c r="AK20" s="71">
        <f t="shared" si="0"/>
        <v>0.1</v>
      </c>
      <c r="AL20" s="23" t="str">
        <f t="shared" si="1"/>
        <v/>
      </c>
      <c r="AM20" s="24" t="str">
        <f t="shared" si="2"/>
        <v/>
      </c>
      <c r="AN20" s="23" t="str">
        <f t="shared" si="3"/>
        <v/>
      </c>
      <c r="AO20" s="24" t="str">
        <f t="shared" si="4"/>
        <v/>
      </c>
      <c r="AP20" s="23" t="str">
        <f t="shared" si="5"/>
        <v/>
      </c>
      <c r="AQ20" s="24" t="str">
        <f t="shared" si="6"/>
        <v/>
      </c>
      <c r="AR20" s="3979" t="s">
        <v>240</v>
      </c>
      <c r="AS20" s="3979"/>
      <c r="AT20" s="551"/>
      <c r="AU20" s="452" t="s">
        <v>483</v>
      </c>
      <c r="AV20" s="458" t="s">
        <v>91</v>
      </c>
      <c r="AW20" s="527" t="str">
        <f>IF(R33="","",R33)</f>
        <v/>
      </c>
      <c r="AX20" s="528" t="str">
        <f>IF(W33="","",W33)</f>
        <v/>
      </c>
      <c r="AY20" s="529"/>
      <c r="AZ20" s="530" t="str">
        <f>IF(AB33="","",AB33)</f>
        <v/>
      </c>
    </row>
    <row r="21" spans="3:54" s="263" customFormat="1" ht="11.1" customHeight="1">
      <c r="C21" s="300"/>
      <c r="D21" s="300"/>
      <c r="E21" s="719" t="s">
        <v>239</v>
      </c>
      <c r="F21" s="719"/>
      <c r="G21" s="719"/>
      <c r="H21" s="719"/>
      <c r="I21" s="719"/>
      <c r="J21" s="719"/>
      <c r="K21" s="719"/>
      <c r="L21" s="300"/>
      <c r="M21" s="300">
        <v>5</v>
      </c>
      <c r="N21" s="300"/>
      <c r="O21" s="300"/>
      <c r="P21" s="300"/>
      <c r="Q21" s="300"/>
      <c r="R21" s="300"/>
      <c r="S21" s="300"/>
      <c r="T21" s="300"/>
      <c r="U21" s="300"/>
      <c r="V21" s="300"/>
      <c r="W21" s="300"/>
      <c r="X21" s="300"/>
      <c r="Y21" s="300"/>
      <c r="Z21" s="300"/>
      <c r="AA21" s="300"/>
      <c r="AB21" s="300"/>
      <c r="AC21" s="300"/>
      <c r="AD21" s="300"/>
      <c r="AE21" s="300"/>
      <c r="AF21" s="300"/>
      <c r="AG21" s="300"/>
      <c r="AH21" s="300"/>
      <c r="AI21" s="301"/>
      <c r="AJ21" s="302"/>
      <c r="AK21" s="71">
        <f t="shared" si="0"/>
        <v>0.125</v>
      </c>
      <c r="AL21" s="23" t="str">
        <f t="shared" si="1"/>
        <v/>
      </c>
      <c r="AM21" s="24" t="str">
        <f t="shared" si="2"/>
        <v/>
      </c>
      <c r="AN21" s="23" t="str">
        <f t="shared" si="3"/>
        <v/>
      </c>
      <c r="AO21" s="24" t="str">
        <f t="shared" si="4"/>
        <v/>
      </c>
      <c r="AP21" s="23" t="str">
        <f t="shared" si="5"/>
        <v/>
      </c>
      <c r="AQ21" s="24" t="str">
        <f t="shared" si="6"/>
        <v/>
      </c>
      <c r="AR21" s="3979" t="s">
        <v>241</v>
      </c>
      <c r="AS21" s="3979"/>
      <c r="AT21" s="551"/>
      <c r="AU21" s="452" t="s">
        <v>480</v>
      </c>
      <c r="AV21" s="458" t="s">
        <v>91</v>
      </c>
      <c r="AW21" s="531" t="str">
        <f>IF(OR(AW19="",AW20=""),"",AW19-AW20)</f>
        <v/>
      </c>
      <c r="AX21" s="532" t="str">
        <f>IF(AX19="","",AX19-AX20)</f>
        <v/>
      </c>
      <c r="AY21" s="533"/>
      <c r="AZ21" s="534" t="str">
        <f>IF(AZ19="","",AZ19-AZ20)</f>
        <v/>
      </c>
      <c r="BA21" s="303"/>
    </row>
    <row r="22" spans="3:54" s="307" customFormat="1" ht="11.1" customHeight="1">
      <c r="C22" s="304"/>
      <c r="D22" s="304"/>
      <c r="E22" s="720"/>
      <c r="F22" s="720"/>
      <c r="G22" s="720"/>
      <c r="H22" s="720"/>
      <c r="I22" s="720"/>
      <c r="J22" s="720"/>
      <c r="K22" s="720"/>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5"/>
      <c r="AJ22" s="306"/>
      <c r="AK22" s="71">
        <f t="shared" si="0"/>
        <v>0.15</v>
      </c>
      <c r="AL22" s="23" t="str">
        <f t="shared" si="1"/>
        <v/>
      </c>
      <c r="AM22" s="24" t="str">
        <f t="shared" si="2"/>
        <v/>
      </c>
      <c r="AN22" s="23" t="str">
        <f t="shared" si="3"/>
        <v/>
      </c>
      <c r="AO22" s="24" t="str">
        <f t="shared" si="4"/>
        <v/>
      </c>
      <c r="AP22" s="23" t="str">
        <f t="shared" si="5"/>
        <v/>
      </c>
      <c r="AQ22" s="24" t="str">
        <f t="shared" si="6"/>
        <v/>
      </c>
      <c r="AR22" s="3979" t="s">
        <v>242</v>
      </c>
      <c r="AS22" s="3979"/>
      <c r="AT22" s="551"/>
      <c r="AU22" s="452" t="s">
        <v>484</v>
      </c>
      <c r="AV22" s="458" t="s">
        <v>91</v>
      </c>
      <c r="AW22" s="531" t="str">
        <f>IF(R34="","",R34)</f>
        <v/>
      </c>
      <c r="AX22" s="532" t="str">
        <f>IF(W34="","",W34)</f>
        <v/>
      </c>
      <c r="AY22" s="533"/>
      <c r="AZ22" s="534" t="str">
        <f>IF(AB34="","",AB34)</f>
        <v/>
      </c>
    </row>
    <row r="23" spans="3:54" ht="11.1" customHeight="1">
      <c r="E23" s="718"/>
      <c r="F23" s="619"/>
      <c r="G23" s="619"/>
      <c r="H23" s="619"/>
      <c r="I23" s="619"/>
      <c r="J23" s="619"/>
      <c r="K23" s="619"/>
      <c r="AB23" s="247"/>
      <c r="AC23" s="247"/>
      <c r="AD23" s="247"/>
      <c r="AE23" s="247"/>
      <c r="AF23" s="247"/>
      <c r="AG23" s="255"/>
      <c r="AH23" s="255"/>
      <c r="AI23" s="247"/>
      <c r="AJ23" s="309"/>
      <c r="AK23" s="71">
        <f t="shared" si="0"/>
        <v>0.17499999999999999</v>
      </c>
      <c r="AL23" s="23" t="str">
        <f t="shared" si="1"/>
        <v/>
      </c>
      <c r="AM23" s="24" t="str">
        <f t="shared" si="2"/>
        <v/>
      </c>
      <c r="AN23" s="23" t="str">
        <f t="shared" si="3"/>
        <v/>
      </c>
      <c r="AO23" s="24" t="str">
        <f t="shared" si="4"/>
        <v/>
      </c>
      <c r="AP23" s="23" t="str">
        <f t="shared" si="5"/>
        <v/>
      </c>
      <c r="AQ23" s="24" t="str">
        <f t="shared" si="6"/>
        <v/>
      </c>
      <c r="AR23" s="3979" t="s">
        <v>245</v>
      </c>
      <c r="AS23" s="3979"/>
      <c r="AT23" s="551"/>
      <c r="AU23" s="452" t="s">
        <v>481</v>
      </c>
      <c r="AV23" s="458" t="s">
        <v>91</v>
      </c>
      <c r="AW23" s="531" t="str">
        <f>IF(AW20="","",AW20-AW22)</f>
        <v/>
      </c>
      <c r="AX23" s="532" t="str">
        <f>IF(AX20="","",AX20-AX22)</f>
        <v/>
      </c>
      <c r="AY23" s="533"/>
      <c r="AZ23" s="534" t="str">
        <f>IF(AZ20="","",AZ20-AZ22)</f>
        <v/>
      </c>
      <c r="BA23" s="241"/>
    </row>
    <row r="24" spans="3:54" ht="11.1" customHeight="1">
      <c r="E24" s="721" t="s">
        <v>243</v>
      </c>
      <c r="F24" s="722"/>
      <c r="G24" s="722"/>
      <c r="H24" s="722"/>
      <c r="I24" s="722"/>
      <c r="J24" s="722"/>
      <c r="K24" s="722"/>
      <c r="L24" s="722"/>
      <c r="M24" s="722"/>
      <c r="N24" s="722"/>
      <c r="O24" s="722"/>
      <c r="P24" s="722"/>
      <c r="Q24" s="722"/>
      <c r="R24" s="4133" t="s">
        <v>244</v>
      </c>
      <c r="S24" s="4134"/>
      <c r="T24" s="4134"/>
      <c r="U24" s="4134"/>
      <c r="V24" s="4134"/>
      <c r="W24" s="4134"/>
      <c r="X24" s="4134"/>
      <c r="Y24" s="4134"/>
      <c r="Z24" s="4134"/>
      <c r="AA24" s="4134"/>
      <c r="AB24" s="4134"/>
      <c r="AC24" s="4134"/>
      <c r="AD24" s="4134"/>
      <c r="AE24" s="4134"/>
      <c r="AF24" s="4135"/>
      <c r="AI24" s="308"/>
      <c r="AK24" s="71">
        <f t="shared" si="0"/>
        <v>0.2</v>
      </c>
      <c r="AL24" s="23" t="str">
        <f t="shared" si="1"/>
        <v/>
      </c>
      <c r="AM24" s="24" t="str">
        <f t="shared" si="2"/>
        <v/>
      </c>
      <c r="AN24" s="23" t="str">
        <f t="shared" si="3"/>
        <v/>
      </c>
      <c r="AO24" s="24" t="str">
        <f t="shared" si="4"/>
        <v/>
      </c>
      <c r="AP24" s="23" t="str">
        <f t="shared" si="5"/>
        <v/>
      </c>
      <c r="AQ24" s="24" t="str">
        <f t="shared" si="6"/>
        <v/>
      </c>
      <c r="AR24" s="3532" t="s">
        <v>448</v>
      </c>
      <c r="AS24" s="3532"/>
      <c r="AT24" s="545"/>
      <c r="AU24" s="459" t="s">
        <v>479</v>
      </c>
      <c r="AV24" s="460" t="s">
        <v>95</v>
      </c>
      <c r="AW24" s="540" t="str">
        <f>IF(AW21="","",(AW21/AW23)*100)</f>
        <v/>
      </c>
      <c r="AX24" s="541" t="str">
        <f>IF(AX21="","",(AX21/AX23)*100)</f>
        <v/>
      </c>
      <c r="AY24" s="542"/>
      <c r="AZ24" s="543" t="str">
        <f>IF(AZ21="","",(AZ21/AZ23)*100)</f>
        <v/>
      </c>
      <c r="BA24" s="241"/>
    </row>
    <row r="25" spans="3:54" ht="11.1" customHeight="1">
      <c r="E25" s="723" t="s">
        <v>246</v>
      </c>
      <c r="F25" s="724"/>
      <c r="G25" s="724"/>
      <c r="H25" s="724"/>
      <c r="I25" s="724"/>
      <c r="J25" s="724"/>
      <c r="K25" s="724"/>
      <c r="L25" s="724"/>
      <c r="M25" s="724"/>
      <c r="N25" s="724"/>
      <c r="O25" s="725"/>
      <c r="P25" s="4136" t="s">
        <v>91</v>
      </c>
      <c r="Q25" s="4136"/>
      <c r="R25" s="4092"/>
      <c r="S25" s="4093"/>
      <c r="T25" s="4093"/>
      <c r="U25" s="4093"/>
      <c r="V25" s="4094"/>
      <c r="W25" s="4095"/>
      <c r="X25" s="4093"/>
      <c r="Y25" s="4093"/>
      <c r="Z25" s="4093"/>
      <c r="AA25" s="4094"/>
      <c r="AB25" s="4095"/>
      <c r="AC25" s="4093"/>
      <c r="AD25" s="4093"/>
      <c r="AE25" s="4093"/>
      <c r="AF25" s="4096"/>
      <c r="AK25" s="71">
        <f t="shared" si="0"/>
        <v>0.3</v>
      </c>
      <c r="AL25" s="23" t="str">
        <f t="shared" si="1"/>
        <v/>
      </c>
      <c r="AM25" s="24" t="str">
        <f t="shared" si="2"/>
        <v/>
      </c>
      <c r="AN25" s="23" t="str">
        <f t="shared" si="3"/>
        <v/>
      </c>
      <c r="AO25" s="24" t="str">
        <f t="shared" si="4"/>
        <v/>
      </c>
      <c r="AP25" s="23" t="str">
        <f t="shared" si="5"/>
        <v/>
      </c>
      <c r="AQ25" s="24" t="str">
        <f t="shared" si="6"/>
        <v/>
      </c>
      <c r="AR25" s="3976" t="s">
        <v>249</v>
      </c>
      <c r="AS25" s="3976"/>
      <c r="AT25" s="3976"/>
      <c r="AU25" s="3976"/>
      <c r="AV25" s="3976"/>
      <c r="AW25" s="3976"/>
      <c r="AX25" s="3976"/>
      <c r="AY25" s="3976"/>
      <c r="AZ25" s="3977"/>
      <c r="BA25" s="241"/>
    </row>
    <row r="26" spans="3:54" ht="11.1" customHeight="1">
      <c r="E26" s="726" t="s">
        <v>247</v>
      </c>
      <c r="F26" s="727"/>
      <c r="G26" s="727"/>
      <c r="H26" s="727"/>
      <c r="I26" s="728"/>
      <c r="J26" s="728"/>
      <c r="K26" s="728"/>
      <c r="L26" s="728"/>
      <c r="M26" s="728"/>
      <c r="N26" s="728"/>
      <c r="O26" s="729"/>
      <c r="P26" s="4127" t="s">
        <v>248</v>
      </c>
      <c r="Q26" s="4127"/>
      <c r="R26" s="4128"/>
      <c r="S26" s="4129"/>
      <c r="T26" s="4129"/>
      <c r="U26" s="4129"/>
      <c r="V26" s="4130"/>
      <c r="W26" s="4131"/>
      <c r="X26" s="4129"/>
      <c r="Y26" s="4129"/>
      <c r="Z26" s="4129"/>
      <c r="AA26" s="4130"/>
      <c r="AB26" s="4131"/>
      <c r="AC26" s="4129"/>
      <c r="AD26" s="4129"/>
      <c r="AE26" s="4129"/>
      <c r="AF26" s="4132"/>
      <c r="AK26" s="71">
        <f t="shared" si="0"/>
        <v>0.4</v>
      </c>
      <c r="AL26" s="23" t="str">
        <f t="shared" si="1"/>
        <v/>
      </c>
      <c r="AM26" s="24" t="str">
        <f t="shared" si="2"/>
        <v/>
      </c>
      <c r="AN26" s="23" t="str">
        <f t="shared" si="3"/>
        <v/>
      </c>
      <c r="AO26" s="24" t="str">
        <f t="shared" si="4"/>
        <v/>
      </c>
      <c r="AP26" s="23" t="str">
        <f t="shared" si="5"/>
        <v/>
      </c>
      <c r="AQ26" s="24" t="str">
        <f t="shared" si="6"/>
        <v/>
      </c>
      <c r="AR26" s="3978" t="s">
        <v>250</v>
      </c>
      <c r="AS26" s="3978"/>
      <c r="AT26" s="550"/>
      <c r="AU26" s="456" t="s">
        <v>476</v>
      </c>
      <c r="AV26" s="461" t="s">
        <v>235</v>
      </c>
      <c r="AW26" s="495" t="str">
        <f>IF(AW17="","",AW17/(1+AW24/100))</f>
        <v/>
      </c>
      <c r="AX26" s="496" t="str">
        <f>IF(AX17="","",AX17/(1+AX24/100))</f>
        <v/>
      </c>
      <c r="AY26" s="497" t="str">
        <f>IF(AZ17="","",AZ17/(1+AZ24/100))</f>
        <v/>
      </c>
      <c r="BA26" s="241"/>
    </row>
    <row r="27" spans="3:54" ht="11.1" customHeight="1">
      <c r="E27" s="730"/>
      <c r="F27" s="731"/>
      <c r="G27" s="731"/>
      <c r="H27" s="731"/>
      <c r="I27" s="732"/>
      <c r="J27" s="732"/>
      <c r="K27" s="732"/>
      <c r="L27" s="732"/>
      <c r="M27" s="732"/>
      <c r="N27" s="732"/>
      <c r="O27" s="733"/>
      <c r="P27" s="734"/>
      <c r="Q27" s="734"/>
      <c r="R27" s="735"/>
      <c r="S27" s="735"/>
      <c r="T27" s="735"/>
      <c r="U27" s="735"/>
      <c r="V27" s="735"/>
      <c r="W27" s="735"/>
      <c r="X27" s="735"/>
      <c r="Y27" s="735"/>
      <c r="Z27" s="735"/>
      <c r="AA27" s="735"/>
      <c r="AB27" s="735"/>
      <c r="AC27" s="735"/>
      <c r="AD27" s="735"/>
      <c r="AE27" s="735"/>
      <c r="AF27" s="735"/>
      <c r="AK27" s="71">
        <f t="shared" si="0"/>
        <v>0.5</v>
      </c>
      <c r="AL27" s="23" t="str">
        <f t="shared" si="1"/>
        <v/>
      </c>
      <c r="AM27" s="24" t="str">
        <f t="shared" si="2"/>
        <v/>
      </c>
      <c r="AN27" s="23" t="str">
        <f t="shared" si="3"/>
        <v/>
      </c>
      <c r="AO27" s="24" t="str">
        <f t="shared" si="4"/>
        <v/>
      </c>
      <c r="AP27" s="23" t="str">
        <f t="shared" si="5"/>
        <v/>
      </c>
      <c r="AQ27" s="24" t="str">
        <f t="shared" si="6"/>
        <v/>
      </c>
      <c r="AR27" s="3982" t="s">
        <v>250</v>
      </c>
      <c r="AS27" s="3982"/>
      <c r="AT27" s="554"/>
      <c r="AU27" s="452" t="s">
        <v>476</v>
      </c>
      <c r="AV27" s="462" t="s">
        <v>252</v>
      </c>
      <c r="AW27" s="499" t="str">
        <f>IF(AW26="","",AW26*62.4/1000)</f>
        <v/>
      </c>
      <c r="AX27" s="500" t="str">
        <f>IF(AX26="","",AX26*62.4/1000)</f>
        <v/>
      </c>
      <c r="AY27" s="501" t="str">
        <f>IF(AY26="","",AY26*62.4/1000)</f>
        <v/>
      </c>
      <c r="BA27" s="241"/>
    </row>
    <row r="28" spans="3:54" ht="12" customHeight="1">
      <c r="E28" s="4085" t="s">
        <v>251</v>
      </c>
      <c r="F28" s="4086"/>
      <c r="G28" s="4086"/>
      <c r="H28" s="4086"/>
      <c r="I28" s="4086"/>
      <c r="J28" s="4086"/>
      <c r="K28" s="4086"/>
      <c r="L28" s="4086"/>
      <c r="M28" s="4086"/>
      <c r="N28" s="4086"/>
      <c r="O28" s="4086"/>
      <c r="P28" s="4086"/>
      <c r="Q28" s="4086"/>
      <c r="R28" s="4087"/>
      <c r="S28" s="4087"/>
      <c r="T28" s="4087"/>
      <c r="U28" s="4087"/>
      <c r="V28" s="4087"/>
      <c r="W28" s="4087"/>
      <c r="X28" s="4087"/>
      <c r="Y28" s="4087"/>
      <c r="Z28" s="4087"/>
      <c r="AA28" s="4087"/>
      <c r="AB28" s="4087"/>
      <c r="AC28" s="4087"/>
      <c r="AD28" s="4087"/>
      <c r="AE28" s="4087"/>
      <c r="AF28" s="4088"/>
      <c r="AK28" s="30" t="s">
        <v>447</v>
      </c>
      <c r="AL28" s="3992" t="str">
        <f>IF(R54="","",100*(R54-R55)/(R55-R56))</f>
        <v/>
      </c>
      <c r="AM28" s="3991"/>
      <c r="AN28" s="3990" t="str">
        <f>IF(W54="","",100*(W54-W55)/(W55-W56))</f>
        <v/>
      </c>
      <c r="AO28" s="3991"/>
      <c r="AP28" s="3990" t="str">
        <f>IF(AB54="","",100*(AB54-AB55)/(AB55-AB56))</f>
        <v/>
      </c>
      <c r="AQ28" s="3991"/>
      <c r="AR28" s="3979" t="s">
        <v>254</v>
      </c>
      <c r="AS28" s="3979"/>
      <c r="AT28" s="551"/>
      <c r="AU28" s="453"/>
      <c r="AV28" s="463" t="s">
        <v>95</v>
      </c>
      <c r="AW28" s="502" t="str">
        <f>+AL29</f>
        <v/>
      </c>
      <c r="AX28" s="503" t="str">
        <f>+AN29</f>
        <v/>
      </c>
      <c r="AY28" s="504" t="str">
        <f>+AP29</f>
        <v/>
      </c>
      <c r="BA28" s="241"/>
    </row>
    <row r="29" spans="3:54" ht="12" customHeight="1">
      <c r="E29" s="4108" t="s">
        <v>253</v>
      </c>
      <c r="F29" s="4109"/>
      <c r="G29" s="4109"/>
      <c r="H29" s="4109"/>
      <c r="I29" s="4109"/>
      <c r="J29" s="4109"/>
      <c r="K29" s="4109"/>
      <c r="L29" s="4109"/>
      <c r="M29" s="4109"/>
      <c r="N29" s="4109"/>
      <c r="O29" s="4109"/>
      <c r="P29" s="4109"/>
      <c r="Q29" s="4109"/>
      <c r="R29" s="4110"/>
      <c r="S29" s="4110"/>
      <c r="T29" s="4110"/>
      <c r="U29" s="4110"/>
      <c r="V29" s="4110"/>
      <c r="W29" s="4110"/>
      <c r="X29" s="4110"/>
      <c r="Y29" s="4110"/>
      <c r="Z29" s="4110"/>
      <c r="AA29" s="4110"/>
      <c r="AB29" s="4110"/>
      <c r="AC29" s="4110"/>
      <c r="AD29" s="4110"/>
      <c r="AE29" s="4110"/>
      <c r="AF29" s="4110"/>
      <c r="AK29" s="31" t="s">
        <v>257</v>
      </c>
      <c r="AL29" s="4106" t="str">
        <f>+IF(AM20="","",AM20/10)</f>
        <v/>
      </c>
      <c r="AM29" s="4107"/>
      <c r="AN29" s="4106" t="str">
        <f>+IF(AO20="","",IF(AO20="","",AO20/10))</f>
        <v/>
      </c>
      <c r="AO29" s="4107"/>
      <c r="AP29" s="4106" t="str">
        <f>+IF(AQ20="","",AQ20/10)</f>
        <v/>
      </c>
      <c r="AQ29" s="4107"/>
      <c r="AR29" s="3983" t="s">
        <v>258</v>
      </c>
      <c r="AS29" s="3983"/>
      <c r="AT29" s="555"/>
      <c r="AU29" s="464"/>
      <c r="AV29" s="465" t="s">
        <v>95</v>
      </c>
      <c r="AW29" s="505" t="str">
        <f>+AL30</f>
        <v/>
      </c>
      <c r="AX29" s="506" t="str">
        <f>+AN30</f>
        <v/>
      </c>
      <c r="AY29" s="507" t="str">
        <f>+AP30</f>
        <v/>
      </c>
      <c r="BA29" s="241"/>
    </row>
    <row r="30" spans="3:54" ht="12" customHeight="1">
      <c r="E30" s="736" t="s">
        <v>256</v>
      </c>
      <c r="F30" s="737"/>
      <c r="G30" s="737"/>
      <c r="H30" s="737"/>
      <c r="I30" s="738"/>
      <c r="J30" s="738"/>
      <c r="K30" s="738"/>
      <c r="L30" s="738"/>
      <c r="M30" s="738"/>
      <c r="N30" s="738"/>
      <c r="O30" s="738"/>
      <c r="P30" s="738"/>
      <c r="Q30" s="739" t="s">
        <v>91</v>
      </c>
      <c r="R30" s="4092"/>
      <c r="S30" s="4093"/>
      <c r="T30" s="4093"/>
      <c r="U30" s="4093"/>
      <c r="V30" s="4094"/>
      <c r="W30" s="4095"/>
      <c r="X30" s="4093"/>
      <c r="Y30" s="4093"/>
      <c r="Z30" s="4093"/>
      <c r="AA30" s="4094"/>
      <c r="AB30" s="4095"/>
      <c r="AC30" s="4093"/>
      <c r="AD30" s="4093"/>
      <c r="AE30" s="4093"/>
      <c r="AF30" s="4096"/>
      <c r="AK30" s="31" t="s">
        <v>260</v>
      </c>
      <c r="AL30" s="4111" t="str">
        <f>IF(AM24="","",AM24/15)</f>
        <v/>
      </c>
      <c r="AM30" s="4112"/>
      <c r="AN30" s="4113" t="str">
        <f>+IF(AO24="","",AO24/15)</f>
        <v/>
      </c>
      <c r="AO30" s="4112"/>
      <c r="AP30" s="4113" t="str">
        <f>+IF(AQ24="","",AQ24/15)</f>
        <v/>
      </c>
      <c r="AQ30" s="4112"/>
      <c r="AR30" s="702"/>
      <c r="AS30" s="701"/>
      <c r="AT30" s="701"/>
      <c r="AU30" s="701"/>
      <c r="AV30" s="701"/>
      <c r="AW30" s="702"/>
      <c r="AX30" s="702"/>
      <c r="AY30" s="702"/>
      <c r="AZ30" s="703"/>
      <c r="BA30" s="241"/>
    </row>
    <row r="31" spans="3:54" ht="12" customHeight="1">
      <c r="E31" s="4059" t="s">
        <v>259</v>
      </c>
      <c r="F31" s="4060"/>
      <c r="G31" s="4060"/>
      <c r="H31" s="4060"/>
      <c r="I31" s="4060"/>
      <c r="J31" s="4060"/>
      <c r="K31" s="4060"/>
      <c r="L31" s="4060"/>
      <c r="M31" s="4060"/>
      <c r="N31" s="4060"/>
      <c r="O31" s="4060"/>
      <c r="P31" s="4060"/>
      <c r="Q31" s="4060"/>
      <c r="R31" s="4061"/>
      <c r="S31" s="4061"/>
      <c r="T31" s="4061"/>
      <c r="U31" s="4061"/>
      <c r="V31" s="4061"/>
      <c r="W31" s="4061"/>
      <c r="X31" s="4061"/>
      <c r="Y31" s="4061"/>
      <c r="Z31" s="4061"/>
      <c r="AA31" s="4061"/>
      <c r="AB31" s="4061"/>
      <c r="AC31" s="4061"/>
      <c r="AD31" s="4061"/>
      <c r="AE31" s="4061"/>
      <c r="AF31" s="4062"/>
      <c r="AK31" s="4114"/>
      <c r="AL31" s="4115"/>
      <c r="AM31" s="4115"/>
      <c r="AN31" s="4115"/>
      <c r="AO31" s="4115"/>
      <c r="AP31" s="4115"/>
      <c r="AQ31" s="4116"/>
      <c r="AR31" s="701"/>
      <c r="AS31" s="701"/>
      <c r="AT31" s="701"/>
      <c r="AU31" s="701"/>
      <c r="AV31" s="701"/>
      <c r="AW31" s="3957" t="s">
        <v>262</v>
      </c>
      <c r="AX31" s="3958"/>
      <c r="AY31" s="3958"/>
      <c r="AZ31" s="3959"/>
      <c r="BA31" s="241"/>
    </row>
    <row r="32" spans="3:54" ht="12" customHeight="1">
      <c r="E32" s="740" t="s">
        <v>261</v>
      </c>
      <c r="F32" s="741"/>
      <c r="G32" s="741"/>
      <c r="H32" s="741"/>
      <c r="I32" s="742"/>
      <c r="J32" s="742"/>
      <c r="K32" s="742"/>
      <c r="L32" s="742"/>
      <c r="M32" s="742"/>
      <c r="N32" s="742"/>
      <c r="O32" s="742"/>
      <c r="P32" s="742"/>
      <c r="Q32" s="743" t="s">
        <v>91</v>
      </c>
      <c r="R32" s="4092"/>
      <c r="S32" s="4093"/>
      <c r="T32" s="4093"/>
      <c r="U32" s="4093"/>
      <c r="V32" s="4093"/>
      <c r="W32" s="4095"/>
      <c r="X32" s="4093"/>
      <c r="Y32" s="4093"/>
      <c r="Z32" s="4093"/>
      <c r="AA32" s="4096"/>
      <c r="AB32" s="4095"/>
      <c r="AC32" s="4093"/>
      <c r="AD32" s="4093"/>
      <c r="AE32" s="4093"/>
      <c r="AF32" s="4096"/>
      <c r="AK32" s="4117"/>
      <c r="AL32" s="4118"/>
      <c r="AM32" s="4118"/>
      <c r="AN32" s="4118"/>
      <c r="AO32" s="4118"/>
      <c r="AP32" s="4118"/>
      <c r="AQ32" s="4119"/>
      <c r="AR32" s="701"/>
      <c r="AS32" s="701"/>
      <c r="AT32" s="701"/>
      <c r="AU32" s="701"/>
      <c r="AV32" s="701"/>
      <c r="AW32" s="466" t="s">
        <v>452</v>
      </c>
      <c r="AX32" s="3971" t="s">
        <v>455</v>
      </c>
      <c r="AY32" s="3971"/>
      <c r="AZ32" s="467" t="s">
        <v>264</v>
      </c>
      <c r="BA32" s="241"/>
    </row>
    <row r="33" spans="5:53" ht="12" customHeight="1">
      <c r="E33" s="740" t="s">
        <v>263</v>
      </c>
      <c r="F33" s="741"/>
      <c r="G33" s="741"/>
      <c r="H33" s="741"/>
      <c r="I33" s="742"/>
      <c r="J33" s="742"/>
      <c r="K33" s="742"/>
      <c r="L33" s="742"/>
      <c r="M33" s="742"/>
      <c r="N33" s="742"/>
      <c r="O33" s="742"/>
      <c r="P33" s="742"/>
      <c r="Q33" s="743" t="s">
        <v>91</v>
      </c>
      <c r="R33" s="4092"/>
      <c r="S33" s="4093"/>
      <c r="T33" s="4093"/>
      <c r="U33" s="4093"/>
      <c r="V33" s="4094"/>
      <c r="W33" s="4095"/>
      <c r="X33" s="4093"/>
      <c r="Y33" s="4093"/>
      <c r="Z33" s="4093"/>
      <c r="AA33" s="4094"/>
      <c r="AB33" s="4095"/>
      <c r="AC33" s="4093"/>
      <c r="AD33" s="4093"/>
      <c r="AE33" s="4093"/>
      <c r="AF33" s="4096"/>
      <c r="AK33" s="4117"/>
      <c r="AL33" s="4118"/>
      <c r="AM33" s="4118"/>
      <c r="AN33" s="4118"/>
      <c r="AO33" s="4118"/>
      <c r="AP33" s="4118"/>
      <c r="AQ33" s="4119"/>
      <c r="AR33" s="701"/>
      <c r="AS33" s="701"/>
      <c r="AT33" s="701"/>
      <c r="AU33" s="701"/>
      <c r="AV33" s="701"/>
      <c r="AW33" s="468" t="s">
        <v>453</v>
      </c>
      <c r="AX33" s="3970" t="s">
        <v>454</v>
      </c>
      <c r="AY33" s="3970"/>
      <c r="AZ33" s="469" t="s">
        <v>264</v>
      </c>
      <c r="BA33" s="241"/>
    </row>
    <row r="34" spans="5:53" ht="12" customHeight="1">
      <c r="E34" s="744" t="s">
        <v>265</v>
      </c>
      <c r="F34" s="745"/>
      <c r="G34" s="745"/>
      <c r="H34" s="745"/>
      <c r="I34" s="746"/>
      <c r="J34" s="746"/>
      <c r="K34" s="746"/>
      <c r="L34" s="746"/>
      <c r="M34" s="746"/>
      <c r="N34" s="746"/>
      <c r="O34" s="746"/>
      <c r="P34" s="746"/>
      <c r="Q34" s="747" t="s">
        <v>91</v>
      </c>
      <c r="R34" s="4097"/>
      <c r="S34" s="4098"/>
      <c r="T34" s="4098"/>
      <c r="U34" s="4098"/>
      <c r="V34" s="4099"/>
      <c r="W34" s="4100"/>
      <c r="X34" s="4098"/>
      <c r="Y34" s="4098"/>
      <c r="Z34" s="4098"/>
      <c r="AA34" s="4099"/>
      <c r="AB34" s="4100"/>
      <c r="AC34" s="4098"/>
      <c r="AD34" s="4098"/>
      <c r="AE34" s="4098"/>
      <c r="AF34" s="4101"/>
      <c r="AK34" s="4117"/>
      <c r="AL34" s="4118"/>
      <c r="AM34" s="4118"/>
      <c r="AN34" s="4118"/>
      <c r="AO34" s="4118"/>
      <c r="AP34" s="4118"/>
      <c r="AQ34" s="4119"/>
      <c r="AR34" s="701"/>
      <c r="AS34" s="701"/>
      <c r="AT34" s="701"/>
      <c r="AU34" s="701"/>
      <c r="AV34" s="701"/>
      <c r="AW34" s="701"/>
      <c r="AX34" s="701"/>
      <c r="AY34" s="701"/>
      <c r="AZ34" s="704"/>
      <c r="BA34" s="241"/>
    </row>
    <row r="35" spans="5:53" ht="12" customHeight="1">
      <c r="E35" s="4123" t="s">
        <v>266</v>
      </c>
      <c r="F35" s="4124"/>
      <c r="G35" s="4124"/>
      <c r="H35" s="4124"/>
      <c r="I35" s="4124"/>
      <c r="J35" s="4124"/>
      <c r="K35" s="4124"/>
      <c r="L35" s="4124"/>
      <c r="M35" s="4124"/>
      <c r="N35" s="4124"/>
      <c r="O35" s="4124"/>
      <c r="P35" s="4124"/>
      <c r="Q35" s="4124"/>
      <c r="R35" s="4124"/>
      <c r="S35" s="4124"/>
      <c r="T35" s="4124"/>
      <c r="U35" s="4124"/>
      <c r="V35" s="4124"/>
      <c r="W35" s="4124"/>
      <c r="X35" s="4124"/>
      <c r="Y35" s="4124"/>
      <c r="Z35" s="4124"/>
      <c r="AA35" s="4124"/>
      <c r="AB35" s="4124"/>
      <c r="AC35" s="4124"/>
      <c r="AD35" s="4124"/>
      <c r="AE35" s="4124"/>
      <c r="AF35" s="4125"/>
      <c r="AG35" s="311"/>
      <c r="AH35" s="311"/>
      <c r="AI35" s="311"/>
      <c r="AJ35" s="312"/>
      <c r="AK35" s="4117"/>
      <c r="AL35" s="4118"/>
      <c r="AM35" s="4118"/>
      <c r="AN35" s="4118"/>
      <c r="AO35" s="4118"/>
      <c r="AP35" s="4118"/>
      <c r="AQ35" s="4119"/>
      <c r="AR35" s="701"/>
      <c r="AS35" s="701"/>
      <c r="AT35" s="701"/>
      <c r="AU35" s="701"/>
      <c r="AV35" s="701"/>
      <c r="AW35" s="3957" t="s">
        <v>269</v>
      </c>
      <c r="AX35" s="3958"/>
      <c r="AY35" s="3958"/>
      <c r="AZ35" s="3959"/>
      <c r="BA35" s="241"/>
    </row>
    <row r="36" spans="5:53" ht="12" customHeight="1">
      <c r="E36" s="748" t="s">
        <v>267</v>
      </c>
      <c r="F36" s="749"/>
      <c r="G36" s="750"/>
      <c r="H36" s="750"/>
      <c r="I36" s="750"/>
      <c r="J36" s="750"/>
      <c r="K36" s="750"/>
      <c r="L36" s="750"/>
      <c r="M36" s="750"/>
      <c r="N36" s="751"/>
      <c r="O36" s="751"/>
      <c r="P36" s="750"/>
      <c r="Q36" s="752" t="s">
        <v>93</v>
      </c>
      <c r="R36" s="4126"/>
      <c r="S36" s="4126"/>
      <c r="T36" s="4126"/>
      <c r="U36" s="4126"/>
      <c r="V36" s="4126"/>
      <c r="W36" s="4126"/>
      <c r="X36" s="4126"/>
      <c r="Y36" s="4126"/>
      <c r="Z36" s="4126"/>
      <c r="AA36" s="4126"/>
      <c r="AB36" s="4126"/>
      <c r="AC36" s="4126"/>
      <c r="AD36" s="4126"/>
      <c r="AE36" s="4126"/>
      <c r="AF36" s="4126"/>
      <c r="AG36" s="311"/>
      <c r="AH36" s="311"/>
      <c r="AI36" s="311"/>
      <c r="AJ36" s="312"/>
      <c r="AK36" s="4117"/>
      <c r="AL36" s="4118"/>
      <c r="AM36" s="4118"/>
      <c r="AN36" s="4118"/>
      <c r="AO36" s="4118"/>
      <c r="AP36" s="4118"/>
      <c r="AQ36" s="4119"/>
      <c r="AR36" s="701"/>
      <c r="AS36" s="701"/>
      <c r="AT36" s="701"/>
      <c r="AU36" s="701"/>
      <c r="AV36" s="701"/>
      <c r="AW36" s="3960"/>
      <c r="AX36" s="3961"/>
      <c r="AY36" s="3961"/>
      <c r="AZ36" s="3962"/>
      <c r="BA36" s="241"/>
    </row>
    <row r="37" spans="5:53" ht="12" customHeight="1">
      <c r="E37" s="753" t="s">
        <v>268</v>
      </c>
      <c r="F37" s="749"/>
      <c r="G37" s="750"/>
      <c r="H37" s="750"/>
      <c r="I37" s="750"/>
      <c r="J37" s="750"/>
      <c r="K37" s="750"/>
      <c r="L37" s="750"/>
      <c r="M37" s="750"/>
      <c r="N37" s="751"/>
      <c r="O37" s="751"/>
      <c r="P37" s="750"/>
      <c r="Q37" s="754" t="s">
        <v>93</v>
      </c>
      <c r="R37" s="4089"/>
      <c r="S37" s="4090"/>
      <c r="T37" s="4090"/>
      <c r="U37" s="4090"/>
      <c r="V37" s="4091"/>
      <c r="W37" s="4089"/>
      <c r="X37" s="4090"/>
      <c r="Y37" s="4090"/>
      <c r="Z37" s="4090"/>
      <c r="AA37" s="4091"/>
      <c r="AB37" s="4089"/>
      <c r="AC37" s="4090"/>
      <c r="AD37" s="4090"/>
      <c r="AE37" s="4090"/>
      <c r="AF37" s="4091"/>
      <c r="AG37" s="311"/>
      <c r="AH37" s="311"/>
      <c r="AI37" s="311"/>
      <c r="AJ37" s="312"/>
      <c r="AK37" s="4117"/>
      <c r="AL37" s="4118"/>
      <c r="AM37" s="4118"/>
      <c r="AN37" s="4118"/>
      <c r="AO37" s="4118"/>
      <c r="AP37" s="4118"/>
      <c r="AQ37" s="4119"/>
      <c r="AR37" s="701"/>
      <c r="AS37" s="701"/>
      <c r="AT37" s="701"/>
      <c r="AU37" s="701"/>
      <c r="AV37" s="701"/>
      <c r="AW37" s="470" t="s">
        <v>456</v>
      </c>
      <c r="AX37" s="3750" t="s">
        <v>458</v>
      </c>
      <c r="AY37" s="3750"/>
      <c r="AZ37" s="471"/>
      <c r="BA37" s="241"/>
    </row>
    <row r="38" spans="5:53" s="315" customFormat="1" ht="12" customHeight="1">
      <c r="E38" s="4075" t="s">
        <v>224</v>
      </c>
      <c r="F38" s="4075"/>
      <c r="G38" s="4075"/>
      <c r="H38" s="4075"/>
      <c r="I38" s="4075"/>
      <c r="J38" s="4075"/>
      <c r="K38" s="901"/>
      <c r="L38" s="902"/>
      <c r="M38" s="4076" t="s">
        <v>270</v>
      </c>
      <c r="N38" s="4076"/>
      <c r="O38" s="4076"/>
      <c r="P38" s="4076"/>
      <c r="Q38" s="4077"/>
      <c r="R38" s="4078" t="str">
        <f>+'Gradacion '!Q19</f>
        <v/>
      </c>
      <c r="S38" s="4079"/>
      <c r="T38" s="4079"/>
      <c r="U38" s="4079"/>
      <c r="V38" s="4080"/>
      <c r="W38" s="4081" t="s">
        <v>225</v>
      </c>
      <c r="X38" s="4082"/>
      <c r="Y38" s="4083"/>
      <c r="Z38" s="4084"/>
      <c r="AA38" s="4084"/>
      <c r="AB38" s="4084"/>
      <c r="AC38" s="4084"/>
      <c r="AD38" s="4084"/>
      <c r="AE38" s="4084"/>
      <c r="AF38" s="4084"/>
      <c r="AG38" s="313"/>
      <c r="AH38" s="313"/>
      <c r="AI38" s="313"/>
      <c r="AJ38" s="314"/>
      <c r="AK38" s="4117"/>
      <c r="AL38" s="4118"/>
      <c r="AM38" s="4118"/>
      <c r="AN38" s="4118"/>
      <c r="AO38" s="4118"/>
      <c r="AP38" s="4118"/>
      <c r="AQ38" s="4119"/>
      <c r="AR38" s="701"/>
      <c r="AS38" s="701"/>
      <c r="AT38" s="701"/>
      <c r="AU38" s="701"/>
      <c r="AV38" s="701"/>
      <c r="AW38" s="472" t="s">
        <v>457</v>
      </c>
      <c r="AX38" s="3969" t="s">
        <v>459</v>
      </c>
      <c r="AY38" s="3969"/>
      <c r="AZ38" s="473" t="s">
        <v>100</v>
      </c>
    </row>
    <row r="39" spans="5:53" ht="12" customHeight="1">
      <c r="E39" s="4085" t="s">
        <v>92</v>
      </c>
      <c r="F39" s="4086"/>
      <c r="G39" s="4086"/>
      <c r="H39" s="4086"/>
      <c r="I39" s="4086"/>
      <c r="J39" s="4086"/>
      <c r="K39" s="4086"/>
      <c r="L39" s="4086"/>
      <c r="M39" s="4086"/>
      <c r="N39" s="4086"/>
      <c r="O39" s="4086"/>
      <c r="P39" s="4086"/>
      <c r="Q39" s="4086"/>
      <c r="R39" s="4087"/>
      <c r="S39" s="4087"/>
      <c r="T39" s="4087"/>
      <c r="U39" s="4087"/>
      <c r="V39" s="4087"/>
      <c r="W39" s="4087"/>
      <c r="X39" s="4087"/>
      <c r="Y39" s="4087"/>
      <c r="Z39" s="4087"/>
      <c r="AA39" s="4087"/>
      <c r="AB39" s="4087"/>
      <c r="AC39" s="4087"/>
      <c r="AD39" s="4087"/>
      <c r="AE39" s="4087"/>
      <c r="AF39" s="4088"/>
      <c r="AG39" s="313"/>
      <c r="AH39" s="313"/>
      <c r="AI39" s="313"/>
      <c r="AJ39" s="314"/>
      <c r="AK39" s="4117"/>
      <c r="AL39" s="4118"/>
      <c r="AM39" s="4118"/>
      <c r="AN39" s="4118"/>
      <c r="AO39" s="4118"/>
      <c r="AP39" s="4118"/>
      <c r="AQ39" s="4119"/>
      <c r="AR39" s="701"/>
      <c r="AS39" s="701"/>
      <c r="AT39" s="701"/>
      <c r="AU39" s="701"/>
      <c r="AV39" s="701"/>
      <c r="AW39" s="705"/>
      <c r="AX39" s="705"/>
      <c r="AY39" s="705"/>
      <c r="AZ39" s="706"/>
      <c r="BA39" s="241"/>
    </row>
    <row r="40" spans="5:53" ht="12" customHeight="1">
      <c r="E40" s="4102" t="s">
        <v>3</v>
      </c>
      <c r="F40" s="3727"/>
      <c r="G40" s="3727"/>
      <c r="H40" s="3727"/>
      <c r="I40" s="3727"/>
      <c r="J40" s="3727"/>
      <c r="K40" s="4102" t="s">
        <v>57</v>
      </c>
      <c r="L40" s="3727"/>
      <c r="M40" s="3727"/>
      <c r="N40" s="3727"/>
      <c r="O40" s="3727"/>
      <c r="P40" s="3727"/>
      <c r="Q40" s="3728"/>
      <c r="R40" s="4103" t="s">
        <v>271</v>
      </c>
      <c r="S40" s="4104"/>
      <c r="T40" s="4104"/>
      <c r="U40" s="4104"/>
      <c r="V40" s="4104"/>
      <c r="W40" s="4104"/>
      <c r="X40" s="4104"/>
      <c r="Y40" s="4104"/>
      <c r="Z40" s="4104"/>
      <c r="AA40" s="4104"/>
      <c r="AB40" s="4104"/>
      <c r="AC40" s="4104"/>
      <c r="AD40" s="4104"/>
      <c r="AE40" s="4104"/>
      <c r="AF40" s="4105"/>
      <c r="AG40" s="313"/>
      <c r="AH40" s="313"/>
      <c r="AI40" s="313"/>
      <c r="AJ40" s="314"/>
      <c r="AK40" s="4117"/>
      <c r="AL40" s="4118"/>
      <c r="AM40" s="4118"/>
      <c r="AN40" s="4118"/>
      <c r="AO40" s="4118"/>
      <c r="AP40" s="4118"/>
      <c r="AQ40" s="4119"/>
      <c r="AR40" s="701"/>
      <c r="AS40" s="701"/>
      <c r="AT40" s="701"/>
      <c r="AU40" s="701"/>
      <c r="AV40" s="701"/>
      <c r="AW40" s="705"/>
      <c r="AX40" s="705"/>
      <c r="AY40" s="705"/>
      <c r="AZ40" s="706"/>
      <c r="BA40" s="241"/>
    </row>
    <row r="41" spans="5:53" ht="12" customHeight="1">
      <c r="E41" s="4073">
        <f t="shared" ref="E41:E52" si="7">25.4*K41</f>
        <v>0</v>
      </c>
      <c r="F41" s="4074"/>
      <c r="G41" s="4074"/>
      <c r="H41" s="4074"/>
      <c r="I41" s="4074"/>
      <c r="J41" s="4074"/>
      <c r="K41" s="4065">
        <v>0</v>
      </c>
      <c r="L41" s="4066"/>
      <c r="M41" s="4066"/>
      <c r="N41" s="4066"/>
      <c r="O41" s="4066"/>
      <c r="P41" s="4066"/>
      <c r="Q41" s="4067"/>
      <c r="R41" s="4068"/>
      <c r="S41" s="4069"/>
      <c r="T41" s="4069"/>
      <c r="U41" s="4069"/>
      <c r="V41" s="4070"/>
      <c r="W41" s="4068"/>
      <c r="X41" s="4069"/>
      <c r="Y41" s="4069"/>
      <c r="Z41" s="4069"/>
      <c r="AA41" s="4070"/>
      <c r="AB41" s="4068"/>
      <c r="AC41" s="4069"/>
      <c r="AD41" s="4069"/>
      <c r="AE41" s="4069"/>
      <c r="AF41" s="4070"/>
      <c r="AG41" s="313"/>
      <c r="AH41" s="313"/>
      <c r="AI41" s="313"/>
      <c r="AJ41" s="314"/>
      <c r="AK41" s="4117"/>
      <c r="AL41" s="4118"/>
      <c r="AM41" s="4118"/>
      <c r="AN41" s="4118"/>
      <c r="AO41" s="4118"/>
      <c r="AP41" s="4118"/>
      <c r="AQ41" s="4119"/>
      <c r="AR41" s="701"/>
      <c r="AS41" s="701"/>
      <c r="AT41" s="701"/>
      <c r="AU41" s="701"/>
      <c r="AV41" s="701"/>
      <c r="AW41" s="701"/>
      <c r="AX41" s="701"/>
      <c r="AY41" s="701"/>
      <c r="AZ41" s="704"/>
      <c r="BA41" s="241"/>
    </row>
    <row r="42" spans="5:53" ht="12" customHeight="1">
      <c r="E42" s="4071">
        <f t="shared" si="7"/>
        <v>0.63500000000000001</v>
      </c>
      <c r="F42" s="4072"/>
      <c r="G42" s="4072"/>
      <c r="H42" s="4072"/>
      <c r="I42" s="4072"/>
      <c r="J42" s="4072"/>
      <c r="K42" s="4065">
        <v>2.5000000000000001E-2</v>
      </c>
      <c r="L42" s="4066"/>
      <c r="M42" s="4066"/>
      <c r="N42" s="4066"/>
      <c r="O42" s="4066"/>
      <c r="P42" s="4066"/>
      <c r="Q42" s="4067"/>
      <c r="R42" s="4068"/>
      <c r="S42" s="4069"/>
      <c r="T42" s="4069"/>
      <c r="U42" s="4069"/>
      <c r="V42" s="4070"/>
      <c r="W42" s="4068"/>
      <c r="X42" s="4069"/>
      <c r="Y42" s="4069"/>
      <c r="Z42" s="4069"/>
      <c r="AA42" s="4070"/>
      <c r="AB42" s="4068"/>
      <c r="AC42" s="4069"/>
      <c r="AD42" s="4069"/>
      <c r="AE42" s="4069"/>
      <c r="AF42" s="4070"/>
      <c r="AG42" s="313"/>
      <c r="AH42" s="313"/>
      <c r="AI42" s="313"/>
      <c r="AJ42" s="314"/>
      <c r="AK42" s="4117"/>
      <c r="AL42" s="4118"/>
      <c r="AM42" s="4118"/>
      <c r="AN42" s="4118"/>
      <c r="AO42" s="4118"/>
      <c r="AP42" s="4118"/>
      <c r="AQ42" s="4119"/>
      <c r="AR42" s="701"/>
      <c r="AS42" s="701"/>
      <c r="AT42" s="701"/>
      <c r="AU42" s="701"/>
      <c r="AV42" s="701"/>
      <c r="AW42" s="3944" t="s">
        <v>272</v>
      </c>
      <c r="AX42" s="3965" t="s">
        <v>273</v>
      </c>
      <c r="AY42" s="3966"/>
      <c r="AZ42" s="3944" t="s">
        <v>274</v>
      </c>
      <c r="BA42" s="241"/>
    </row>
    <row r="43" spans="5:53" ht="12" customHeight="1">
      <c r="E43" s="4071">
        <f t="shared" si="7"/>
        <v>1.27</v>
      </c>
      <c r="F43" s="4072"/>
      <c r="G43" s="4072"/>
      <c r="H43" s="4072"/>
      <c r="I43" s="4072"/>
      <c r="J43" s="4072"/>
      <c r="K43" s="4065">
        <v>0.05</v>
      </c>
      <c r="L43" s="4066"/>
      <c r="M43" s="4066"/>
      <c r="N43" s="4066"/>
      <c r="O43" s="4066"/>
      <c r="P43" s="4066"/>
      <c r="Q43" s="4067"/>
      <c r="R43" s="4068"/>
      <c r="S43" s="4069"/>
      <c r="T43" s="4069"/>
      <c r="U43" s="4069"/>
      <c r="V43" s="4070"/>
      <c r="W43" s="4068"/>
      <c r="X43" s="4069"/>
      <c r="Y43" s="4069"/>
      <c r="Z43" s="4069"/>
      <c r="AA43" s="4070"/>
      <c r="AB43" s="4068"/>
      <c r="AC43" s="4069"/>
      <c r="AD43" s="4069"/>
      <c r="AE43" s="4069"/>
      <c r="AF43" s="4070"/>
      <c r="AG43" s="313"/>
      <c r="AH43" s="313"/>
      <c r="AI43" s="313"/>
      <c r="AJ43" s="314"/>
      <c r="AK43" s="4117"/>
      <c r="AL43" s="4118"/>
      <c r="AM43" s="4118"/>
      <c r="AN43" s="4118"/>
      <c r="AO43" s="4118"/>
      <c r="AP43" s="4118"/>
      <c r="AQ43" s="4119"/>
      <c r="AR43" s="701"/>
      <c r="AS43" s="701"/>
      <c r="AT43" s="701"/>
      <c r="AU43" s="701"/>
      <c r="AV43" s="701"/>
      <c r="AW43" s="3945"/>
      <c r="AX43" s="3967"/>
      <c r="AY43" s="3968"/>
      <c r="AZ43" s="3945"/>
      <c r="BA43" s="241"/>
    </row>
    <row r="44" spans="5:53" ht="12" customHeight="1">
      <c r="E44" s="4071">
        <f t="shared" si="7"/>
        <v>1.9049999999999998</v>
      </c>
      <c r="F44" s="4072"/>
      <c r="G44" s="4072"/>
      <c r="H44" s="4072"/>
      <c r="I44" s="4072"/>
      <c r="J44" s="4072"/>
      <c r="K44" s="4065">
        <v>7.4999999999999997E-2</v>
      </c>
      <c r="L44" s="4066"/>
      <c r="M44" s="4066"/>
      <c r="N44" s="4066"/>
      <c r="O44" s="4066"/>
      <c r="P44" s="4066"/>
      <c r="Q44" s="4067"/>
      <c r="R44" s="4068"/>
      <c r="S44" s="4069"/>
      <c r="T44" s="4069"/>
      <c r="U44" s="4069"/>
      <c r="V44" s="4070"/>
      <c r="W44" s="4068"/>
      <c r="X44" s="4069"/>
      <c r="Y44" s="4069"/>
      <c r="Z44" s="4069"/>
      <c r="AA44" s="4070"/>
      <c r="AB44" s="4068"/>
      <c r="AC44" s="4069"/>
      <c r="AD44" s="4069"/>
      <c r="AE44" s="4069"/>
      <c r="AF44" s="4070"/>
      <c r="AG44" s="313"/>
      <c r="AH44" s="313"/>
      <c r="AI44" s="313"/>
      <c r="AJ44" s="314"/>
      <c r="AK44" s="4117"/>
      <c r="AL44" s="4118"/>
      <c r="AM44" s="4118"/>
      <c r="AN44" s="4118"/>
      <c r="AO44" s="4118"/>
      <c r="AP44" s="4118"/>
      <c r="AQ44" s="4119"/>
      <c r="AR44" s="701"/>
      <c r="AS44" s="701"/>
      <c r="AT44" s="701"/>
      <c r="AU44" s="701"/>
      <c r="AV44" s="701"/>
      <c r="AW44" s="474" t="s">
        <v>95</v>
      </c>
      <c r="AX44" s="3963" t="s">
        <v>460</v>
      </c>
      <c r="AY44" s="3964"/>
      <c r="AZ44" s="474" t="s">
        <v>95</v>
      </c>
      <c r="BA44" s="241"/>
    </row>
    <row r="45" spans="5:53" ht="12" customHeight="1">
      <c r="E45" s="4071">
        <f t="shared" si="7"/>
        <v>2.54</v>
      </c>
      <c r="F45" s="4072"/>
      <c r="G45" s="4072"/>
      <c r="H45" s="4072"/>
      <c r="I45" s="4072"/>
      <c r="J45" s="4072"/>
      <c r="K45" s="4065">
        <v>0.1</v>
      </c>
      <c r="L45" s="4066"/>
      <c r="M45" s="4066"/>
      <c r="N45" s="4066"/>
      <c r="O45" s="4066"/>
      <c r="P45" s="4066"/>
      <c r="Q45" s="4067"/>
      <c r="R45" s="4068"/>
      <c r="S45" s="4069"/>
      <c r="T45" s="4069"/>
      <c r="U45" s="4069"/>
      <c r="V45" s="4070"/>
      <c r="W45" s="4068"/>
      <c r="X45" s="4069"/>
      <c r="Y45" s="4069"/>
      <c r="Z45" s="4069"/>
      <c r="AA45" s="4070"/>
      <c r="AB45" s="4068"/>
      <c r="AC45" s="4069"/>
      <c r="AD45" s="4069"/>
      <c r="AE45" s="4069"/>
      <c r="AF45" s="4070"/>
      <c r="AG45" s="313"/>
      <c r="AH45" s="313"/>
      <c r="AI45" s="313"/>
      <c r="AJ45" s="314"/>
      <c r="AK45" s="4117"/>
      <c r="AL45" s="4118"/>
      <c r="AM45" s="4118"/>
      <c r="AN45" s="4118"/>
      <c r="AO45" s="4118"/>
      <c r="AP45" s="4118"/>
      <c r="AQ45" s="4119"/>
      <c r="AR45" s="701"/>
      <c r="AS45" s="701"/>
      <c r="AT45" s="701"/>
      <c r="AU45" s="701"/>
      <c r="AV45" s="701"/>
      <c r="AW45" s="475">
        <f>AO69</f>
        <v>100</v>
      </c>
      <c r="AX45" s="3953" t="str">
        <f>IF(AP69="","",AP69)</f>
        <v/>
      </c>
      <c r="AY45" s="3954"/>
      <c r="AZ45" s="476" t="str">
        <f>IF(AN83="","",AN83)</f>
        <v/>
      </c>
      <c r="BA45" s="241"/>
    </row>
    <row r="46" spans="5:53" ht="12" customHeight="1">
      <c r="E46" s="4071">
        <f t="shared" si="7"/>
        <v>3.1749999999999998</v>
      </c>
      <c r="F46" s="4072"/>
      <c r="G46" s="4072"/>
      <c r="H46" s="4072"/>
      <c r="I46" s="4072"/>
      <c r="J46" s="4072"/>
      <c r="K46" s="4065">
        <v>0.125</v>
      </c>
      <c r="L46" s="4066"/>
      <c r="M46" s="4066"/>
      <c r="N46" s="4066"/>
      <c r="O46" s="4066"/>
      <c r="P46" s="4066"/>
      <c r="Q46" s="4067"/>
      <c r="R46" s="4068"/>
      <c r="S46" s="4069"/>
      <c r="T46" s="4069"/>
      <c r="U46" s="4069"/>
      <c r="V46" s="4070"/>
      <c r="W46" s="4068"/>
      <c r="X46" s="4069"/>
      <c r="Y46" s="4069"/>
      <c r="Z46" s="4069"/>
      <c r="AA46" s="4070"/>
      <c r="AB46" s="4068"/>
      <c r="AC46" s="4069"/>
      <c r="AD46" s="4069"/>
      <c r="AE46" s="4069"/>
      <c r="AF46" s="4070"/>
      <c r="AG46" s="313"/>
      <c r="AH46" s="313"/>
      <c r="AI46" s="313"/>
      <c r="AJ46" s="314"/>
      <c r="AK46" s="4117"/>
      <c r="AL46" s="4118"/>
      <c r="AM46" s="4118"/>
      <c r="AN46" s="4118"/>
      <c r="AO46" s="4118"/>
      <c r="AP46" s="4118"/>
      <c r="AQ46" s="4119"/>
      <c r="AR46" s="701"/>
      <c r="AS46" s="701"/>
      <c r="AT46" s="701"/>
      <c r="AU46" s="701"/>
      <c r="AV46" s="701"/>
      <c r="AW46" s="475">
        <f>AO70</f>
        <v>98</v>
      </c>
      <c r="AX46" s="3953" t="str">
        <f>IF(AP70="","",AP70)</f>
        <v/>
      </c>
      <c r="AY46" s="3954"/>
      <c r="AZ46" s="476" t="str">
        <f>+AN84</f>
        <v/>
      </c>
      <c r="BA46" s="241"/>
    </row>
    <row r="47" spans="5:53" ht="12" customHeight="1">
      <c r="E47" s="4071">
        <f t="shared" si="7"/>
        <v>3.8099999999999996</v>
      </c>
      <c r="F47" s="4072"/>
      <c r="G47" s="4072"/>
      <c r="H47" s="4072"/>
      <c r="I47" s="4072"/>
      <c r="J47" s="4072"/>
      <c r="K47" s="4065">
        <v>0.15</v>
      </c>
      <c r="L47" s="4066"/>
      <c r="M47" s="4066"/>
      <c r="N47" s="4066"/>
      <c r="O47" s="4066"/>
      <c r="P47" s="4066"/>
      <c r="Q47" s="4067"/>
      <c r="R47" s="4068"/>
      <c r="S47" s="4069"/>
      <c r="T47" s="4069"/>
      <c r="U47" s="4069"/>
      <c r="V47" s="4070"/>
      <c r="W47" s="4068"/>
      <c r="X47" s="4069"/>
      <c r="Y47" s="4069"/>
      <c r="Z47" s="4069"/>
      <c r="AA47" s="4070"/>
      <c r="AB47" s="4068"/>
      <c r="AC47" s="4069"/>
      <c r="AD47" s="4069"/>
      <c r="AE47" s="4069"/>
      <c r="AF47" s="4070"/>
      <c r="AG47" s="313"/>
      <c r="AH47" s="313"/>
      <c r="AI47" s="313"/>
      <c r="AJ47" s="314"/>
      <c r="AK47" s="4117"/>
      <c r="AL47" s="4118"/>
      <c r="AM47" s="4118"/>
      <c r="AN47" s="4118"/>
      <c r="AO47" s="4118"/>
      <c r="AP47" s="4118"/>
      <c r="AQ47" s="4119"/>
      <c r="AR47" s="701"/>
      <c r="AS47" s="701"/>
      <c r="AT47" s="701"/>
      <c r="AU47" s="701"/>
      <c r="AV47" s="707"/>
      <c r="AW47" s="477">
        <f>AO71</f>
        <v>95</v>
      </c>
      <c r="AX47" s="3951" t="str">
        <f>IF(AP71="","",AP71)</f>
        <v/>
      </c>
      <c r="AY47" s="3952"/>
      <c r="AZ47" s="478" t="str">
        <f>+AN85</f>
        <v/>
      </c>
      <c r="BA47" s="241"/>
    </row>
    <row r="48" spans="5:53" ht="12" customHeight="1">
      <c r="E48" s="4071">
        <f t="shared" si="7"/>
        <v>4.4449999999999994</v>
      </c>
      <c r="F48" s="4072"/>
      <c r="G48" s="4072"/>
      <c r="H48" s="4072"/>
      <c r="I48" s="4072"/>
      <c r="J48" s="4072"/>
      <c r="K48" s="4065">
        <v>0.17499999999999999</v>
      </c>
      <c r="L48" s="4066"/>
      <c r="M48" s="4066"/>
      <c r="N48" s="4066"/>
      <c r="O48" s="4066"/>
      <c r="P48" s="4066"/>
      <c r="Q48" s="4067"/>
      <c r="R48" s="4068"/>
      <c r="S48" s="4069"/>
      <c r="T48" s="4069"/>
      <c r="U48" s="4069"/>
      <c r="V48" s="4070"/>
      <c r="W48" s="4068"/>
      <c r="X48" s="4069"/>
      <c r="Y48" s="4069"/>
      <c r="Z48" s="4069"/>
      <c r="AA48" s="4070"/>
      <c r="AB48" s="4068"/>
      <c r="AC48" s="4069"/>
      <c r="AD48" s="4069"/>
      <c r="AE48" s="4069"/>
      <c r="AF48" s="4070"/>
      <c r="AG48" s="313"/>
      <c r="AH48" s="313"/>
      <c r="AI48" s="313"/>
      <c r="AJ48" s="314"/>
      <c r="AK48" s="4117"/>
      <c r="AL48" s="4118"/>
      <c r="AM48" s="4118"/>
      <c r="AN48" s="4118"/>
      <c r="AO48" s="4118"/>
      <c r="AP48" s="4118"/>
      <c r="AQ48" s="4119"/>
      <c r="AR48" s="820"/>
      <c r="AS48" s="701"/>
      <c r="AT48" s="701"/>
      <c r="AU48" s="701"/>
      <c r="AV48" s="707"/>
      <c r="AW48" s="701"/>
      <c r="AX48" s="701"/>
      <c r="AY48" s="701"/>
      <c r="AZ48" s="704"/>
      <c r="BA48" s="241"/>
    </row>
    <row r="49" spans="5:67" ht="10.5" customHeight="1">
      <c r="E49" s="4071">
        <f t="shared" si="7"/>
        <v>5.08</v>
      </c>
      <c r="F49" s="4072"/>
      <c r="G49" s="4072"/>
      <c r="H49" s="4072"/>
      <c r="I49" s="4072"/>
      <c r="J49" s="4072"/>
      <c r="K49" s="4065">
        <v>0.2</v>
      </c>
      <c r="L49" s="4066"/>
      <c r="M49" s="4066"/>
      <c r="N49" s="4066"/>
      <c r="O49" s="4066"/>
      <c r="P49" s="4066"/>
      <c r="Q49" s="4067"/>
      <c r="R49" s="4068"/>
      <c r="S49" s="4069"/>
      <c r="T49" s="4069"/>
      <c r="U49" s="4069"/>
      <c r="V49" s="4070"/>
      <c r="W49" s="4068"/>
      <c r="X49" s="4069"/>
      <c r="Y49" s="4069"/>
      <c r="Z49" s="4069"/>
      <c r="AA49" s="4070"/>
      <c r="AB49" s="4068"/>
      <c r="AC49" s="4069"/>
      <c r="AD49" s="4069"/>
      <c r="AE49" s="4069"/>
      <c r="AF49" s="4070"/>
      <c r="AG49" s="313"/>
      <c r="AH49" s="313"/>
      <c r="AI49" s="313"/>
      <c r="AJ49" s="314"/>
      <c r="AK49" s="4120"/>
      <c r="AL49" s="4121"/>
      <c r="AM49" s="4121"/>
      <c r="AN49" s="4121"/>
      <c r="AO49" s="4121"/>
      <c r="AP49" s="4121"/>
      <c r="AQ49" s="4122"/>
      <c r="AR49" s="821"/>
      <c r="AS49" s="701"/>
      <c r="AT49" s="701"/>
      <c r="AU49" s="701"/>
      <c r="AV49" s="707"/>
      <c r="AW49" s="708"/>
      <c r="AX49" s="709"/>
      <c r="AY49" s="709"/>
      <c r="AZ49" s="710"/>
      <c r="BA49" s="241"/>
    </row>
    <row r="50" spans="5:67" ht="12" customHeight="1">
      <c r="E50" s="4071">
        <f t="shared" si="7"/>
        <v>7.6199999999999992</v>
      </c>
      <c r="F50" s="4072"/>
      <c r="G50" s="4072"/>
      <c r="H50" s="4072"/>
      <c r="I50" s="4072"/>
      <c r="J50" s="4072"/>
      <c r="K50" s="4065">
        <v>0.3</v>
      </c>
      <c r="L50" s="4066"/>
      <c r="M50" s="4066"/>
      <c r="N50" s="4066"/>
      <c r="O50" s="4066"/>
      <c r="P50" s="4066"/>
      <c r="Q50" s="4067"/>
      <c r="R50" s="4068"/>
      <c r="S50" s="4069"/>
      <c r="T50" s="4069"/>
      <c r="U50" s="4069"/>
      <c r="V50" s="4070"/>
      <c r="W50" s="4068"/>
      <c r="X50" s="4069"/>
      <c r="Y50" s="4069"/>
      <c r="Z50" s="4069"/>
      <c r="AA50" s="4070"/>
      <c r="AB50" s="4068"/>
      <c r="AC50" s="4069"/>
      <c r="AD50" s="4069"/>
      <c r="AE50" s="4069"/>
      <c r="AF50" s="4070"/>
      <c r="AG50" s="313"/>
      <c r="AH50" s="313"/>
      <c r="AI50" s="313"/>
      <c r="AJ50" s="314"/>
      <c r="AK50" s="3993" t="s">
        <v>20</v>
      </c>
      <c r="AL50" s="3994"/>
      <c r="AM50" s="3994"/>
      <c r="AN50" s="3994"/>
      <c r="AO50" s="3994"/>
      <c r="AP50" s="3994"/>
      <c r="AQ50" s="3995"/>
      <c r="AR50" s="3918" t="s">
        <v>20</v>
      </c>
      <c r="AS50" s="3918"/>
      <c r="AT50" s="3918"/>
      <c r="AU50" s="3918"/>
      <c r="AV50" s="3918"/>
      <c r="AW50" s="3918"/>
      <c r="AX50" s="3918"/>
      <c r="AY50" s="3918"/>
      <c r="AZ50" s="3919"/>
      <c r="BA50" s="241"/>
    </row>
    <row r="51" spans="5:67" ht="12" customHeight="1">
      <c r="E51" s="4071">
        <f t="shared" si="7"/>
        <v>10.16</v>
      </c>
      <c r="F51" s="4072"/>
      <c r="G51" s="4072"/>
      <c r="H51" s="4072"/>
      <c r="I51" s="4072"/>
      <c r="J51" s="4072"/>
      <c r="K51" s="4065">
        <v>0.4</v>
      </c>
      <c r="L51" s="4066"/>
      <c r="M51" s="4066"/>
      <c r="N51" s="4066"/>
      <c r="O51" s="4066"/>
      <c r="P51" s="4066"/>
      <c r="Q51" s="4067"/>
      <c r="R51" s="4068"/>
      <c r="S51" s="4069"/>
      <c r="T51" s="4069"/>
      <c r="U51" s="4069"/>
      <c r="V51" s="4070"/>
      <c r="W51" s="4068"/>
      <c r="X51" s="4069"/>
      <c r="Y51" s="4069"/>
      <c r="Z51" s="4069"/>
      <c r="AA51" s="4070"/>
      <c r="AB51" s="4068"/>
      <c r="AC51" s="4069"/>
      <c r="AD51" s="4069"/>
      <c r="AE51" s="4069"/>
      <c r="AF51" s="4070"/>
      <c r="AG51" s="313"/>
      <c r="AH51" s="313"/>
      <c r="AI51" s="313"/>
      <c r="AJ51" s="314"/>
      <c r="AK51" s="3999"/>
      <c r="AL51" s="4000"/>
      <c r="AM51" s="4000"/>
      <c r="AN51" s="4000"/>
      <c r="AO51" s="4000"/>
      <c r="AP51" s="4000"/>
      <c r="AQ51" s="4001"/>
      <c r="AR51" s="3920"/>
      <c r="AS51" s="3920"/>
      <c r="AT51" s="3920"/>
      <c r="AU51" s="3920"/>
      <c r="AV51" s="3920"/>
      <c r="AW51" s="3920"/>
      <c r="AX51" s="3920"/>
      <c r="AY51" s="3920"/>
      <c r="AZ51" s="3921"/>
      <c r="BA51" s="241"/>
    </row>
    <row r="52" spans="5:67" ht="14.1" customHeight="1">
      <c r="E52" s="4063">
        <f t="shared" si="7"/>
        <v>12.7</v>
      </c>
      <c r="F52" s="4064"/>
      <c r="G52" s="4064"/>
      <c r="H52" s="4064"/>
      <c r="I52" s="4064"/>
      <c r="J52" s="4064"/>
      <c r="K52" s="4065">
        <v>0.5</v>
      </c>
      <c r="L52" s="4066"/>
      <c r="M52" s="4066"/>
      <c r="N52" s="4066"/>
      <c r="O52" s="4066"/>
      <c r="P52" s="4066"/>
      <c r="Q52" s="4067"/>
      <c r="R52" s="4068"/>
      <c r="S52" s="4069"/>
      <c r="T52" s="4069"/>
      <c r="U52" s="4069"/>
      <c r="V52" s="4070"/>
      <c r="W52" s="4068"/>
      <c r="X52" s="4069"/>
      <c r="Y52" s="4069"/>
      <c r="Z52" s="4069"/>
      <c r="AA52" s="4070"/>
      <c r="AB52" s="4068"/>
      <c r="AC52" s="4069"/>
      <c r="AD52" s="4069"/>
      <c r="AE52" s="4069"/>
      <c r="AF52" s="4070"/>
      <c r="AG52" s="313"/>
      <c r="AH52" s="313"/>
      <c r="AI52" s="313"/>
      <c r="AJ52" s="314"/>
      <c r="AK52" s="664"/>
      <c r="AL52" s="1903" t="s">
        <v>10</v>
      </c>
      <c r="AM52" s="1903"/>
      <c r="AN52" s="2059" t="s">
        <v>11</v>
      </c>
      <c r="AO52" s="2060"/>
      <c r="AP52" s="1903" t="s">
        <v>12</v>
      </c>
      <c r="AQ52" s="1904"/>
      <c r="AR52" s="3914"/>
      <c r="AS52" s="3915"/>
      <c r="AT52" s="3972" t="s">
        <v>10</v>
      </c>
      <c r="AU52" s="3947"/>
      <c r="AV52" s="3948"/>
      <c r="AW52" s="3947" t="s">
        <v>11</v>
      </c>
      <c r="AX52" s="3948"/>
      <c r="AY52" s="3972" t="s">
        <v>12</v>
      </c>
      <c r="AZ52" s="3948"/>
      <c r="BA52" s="241"/>
    </row>
    <row r="53" spans="5:67" ht="0.75" customHeight="1">
      <c r="E53" s="4059" t="s">
        <v>275</v>
      </c>
      <c r="F53" s="4060"/>
      <c r="G53" s="4060"/>
      <c r="H53" s="4060"/>
      <c r="I53" s="4060"/>
      <c r="J53" s="4060"/>
      <c r="K53" s="4060"/>
      <c r="L53" s="4060"/>
      <c r="M53" s="4060"/>
      <c r="N53" s="4060"/>
      <c r="O53" s="4060"/>
      <c r="P53" s="4060"/>
      <c r="Q53" s="4060"/>
      <c r="R53" s="4061"/>
      <c r="S53" s="4061"/>
      <c r="T53" s="4061"/>
      <c r="U53" s="4061"/>
      <c r="V53" s="4061"/>
      <c r="W53" s="4061"/>
      <c r="X53" s="4061"/>
      <c r="Y53" s="4061"/>
      <c r="Z53" s="4061"/>
      <c r="AA53" s="4061"/>
      <c r="AB53" s="4061"/>
      <c r="AC53" s="4061"/>
      <c r="AD53" s="4061"/>
      <c r="AE53" s="4061"/>
      <c r="AF53" s="4062"/>
      <c r="AG53" s="313"/>
      <c r="AH53" s="313"/>
      <c r="AI53" s="313"/>
      <c r="AJ53" s="314"/>
      <c r="AK53" s="665" t="s">
        <v>21</v>
      </c>
      <c r="AL53" s="666"/>
      <c r="AM53" s="667"/>
      <c r="AN53" s="4055"/>
      <c r="AO53" s="2279"/>
      <c r="AP53" s="667"/>
      <c r="AQ53" s="668"/>
      <c r="AR53" s="711" t="s">
        <v>21</v>
      </c>
      <c r="AS53" s="712"/>
      <c r="AT53" s="713"/>
      <c r="AU53" s="714"/>
      <c r="AV53" s="704"/>
      <c r="AW53" s="715"/>
      <c r="AX53" s="704"/>
      <c r="AY53" s="716"/>
      <c r="AZ53" s="717"/>
      <c r="BA53" s="241"/>
    </row>
    <row r="54" spans="5:67" ht="38.1" customHeight="1">
      <c r="E54" s="755" t="s">
        <v>261</v>
      </c>
      <c r="F54" s="756"/>
      <c r="G54" s="757"/>
      <c r="H54" s="757"/>
      <c r="I54" s="757"/>
      <c r="J54" s="758"/>
      <c r="K54" s="758"/>
      <c r="L54" s="758"/>
      <c r="M54" s="758"/>
      <c r="N54" s="758"/>
      <c r="O54" s="758"/>
      <c r="P54" s="758"/>
      <c r="Q54" s="759" t="s">
        <v>91</v>
      </c>
      <c r="R54" s="4054"/>
      <c r="S54" s="4054"/>
      <c r="T54" s="4054"/>
      <c r="U54" s="4054"/>
      <c r="V54" s="4054"/>
      <c r="W54" s="4054"/>
      <c r="X54" s="4054"/>
      <c r="Y54" s="4054"/>
      <c r="Z54" s="4054"/>
      <c r="AA54" s="4054"/>
      <c r="AB54" s="4054"/>
      <c r="AC54" s="4054"/>
      <c r="AD54" s="4054"/>
      <c r="AE54" s="4054"/>
      <c r="AF54" s="4054"/>
      <c r="AG54" s="313"/>
      <c r="AH54" s="313"/>
      <c r="AI54" s="313"/>
      <c r="AJ54" s="314"/>
      <c r="AK54" s="37" t="s">
        <v>13</v>
      </c>
      <c r="AL54" s="3971"/>
      <c r="AM54" s="3998"/>
      <c r="AN54" s="3996"/>
      <c r="AO54" s="3998"/>
      <c r="AP54" s="3996"/>
      <c r="AQ54" s="3997"/>
      <c r="AR54" s="2073" t="s">
        <v>13</v>
      </c>
      <c r="AS54" s="2075"/>
      <c r="AT54" s="3946"/>
      <c r="AU54" s="3567"/>
      <c r="AV54" s="3568"/>
      <c r="AW54" s="3567"/>
      <c r="AX54" s="3568"/>
      <c r="AY54" s="3946"/>
      <c r="AZ54" s="3568"/>
      <c r="BA54" s="241"/>
    </row>
    <row r="55" spans="5:67" ht="14.1" customHeight="1">
      <c r="E55" s="740" t="s">
        <v>263</v>
      </c>
      <c r="F55" s="760"/>
      <c r="G55" s="741"/>
      <c r="H55" s="741"/>
      <c r="I55" s="741"/>
      <c r="J55" s="742"/>
      <c r="K55" s="742"/>
      <c r="L55" s="742"/>
      <c r="M55" s="742"/>
      <c r="N55" s="742"/>
      <c r="O55" s="742"/>
      <c r="P55" s="742"/>
      <c r="Q55" s="743" t="s">
        <v>91</v>
      </c>
      <c r="R55" s="4056"/>
      <c r="S55" s="4056"/>
      <c r="T55" s="4056"/>
      <c r="U55" s="4056"/>
      <c r="V55" s="4056"/>
      <c r="W55" s="4056"/>
      <c r="X55" s="4056"/>
      <c r="Y55" s="4056"/>
      <c r="Z55" s="4056"/>
      <c r="AA55" s="4056"/>
      <c r="AB55" s="4056"/>
      <c r="AC55" s="4056"/>
      <c r="AD55" s="4056"/>
      <c r="AE55" s="4056"/>
      <c r="AF55" s="4056"/>
      <c r="AG55" s="313"/>
      <c r="AH55" s="313"/>
      <c r="AI55" s="313"/>
      <c r="AJ55" s="314"/>
      <c r="AK55" s="37" t="s">
        <v>624</v>
      </c>
      <c r="AL55" s="4002" t="s">
        <v>560</v>
      </c>
      <c r="AM55" s="4002"/>
      <c r="AN55" s="4057" t="s">
        <v>560</v>
      </c>
      <c r="AO55" s="4058"/>
      <c r="AP55" s="4002" t="s">
        <v>560</v>
      </c>
      <c r="AQ55" s="4003"/>
      <c r="AR55" s="2073" t="s">
        <v>369</v>
      </c>
      <c r="AS55" s="2075"/>
      <c r="AT55" s="3973" t="s">
        <v>317</v>
      </c>
      <c r="AU55" s="3949"/>
      <c r="AV55" s="3950"/>
      <c r="AW55" s="3949" t="s">
        <v>314</v>
      </c>
      <c r="AX55" s="3950"/>
      <c r="AY55" s="3094" t="s">
        <v>316</v>
      </c>
      <c r="AZ55" s="3093"/>
      <c r="BA55" s="241"/>
    </row>
    <row r="56" spans="5:67" ht="13.5" customHeight="1" thickBot="1">
      <c r="E56" s="736" t="s">
        <v>265</v>
      </c>
      <c r="F56" s="761"/>
      <c r="G56" s="762"/>
      <c r="H56" s="762"/>
      <c r="I56" s="762"/>
      <c r="J56" s="763"/>
      <c r="K56" s="763"/>
      <c r="L56" s="763"/>
      <c r="M56" s="763"/>
      <c r="N56" s="763"/>
      <c r="O56" s="763"/>
      <c r="P56" s="763"/>
      <c r="Q56" s="764" t="s">
        <v>91</v>
      </c>
      <c r="R56" s="4040"/>
      <c r="S56" s="4040"/>
      <c r="T56" s="4040"/>
      <c r="U56" s="4040"/>
      <c r="V56" s="4040"/>
      <c r="W56" s="4040"/>
      <c r="X56" s="4040"/>
      <c r="Y56" s="4040"/>
      <c r="Z56" s="4040"/>
      <c r="AA56" s="4040"/>
      <c r="AB56" s="4040"/>
      <c r="AC56" s="4040"/>
      <c r="AD56" s="4040"/>
      <c r="AE56" s="4040"/>
      <c r="AF56" s="4040"/>
      <c r="AG56" s="255"/>
      <c r="AH56" s="255"/>
      <c r="AI56" s="255"/>
      <c r="AJ56" s="309"/>
      <c r="AK56" s="38" t="s">
        <v>14</v>
      </c>
      <c r="AL56" s="4051" t="str">
        <f>IF(AL55="--","",VLOOKUP(AL55,firmas!A2:B31,2,0))</f>
        <v/>
      </c>
      <c r="AM56" s="4052"/>
      <c r="AN56" s="4053" t="str">
        <f>IF(AN55="--","",VLOOKUP(AN55,firmas!A33:B35,2,0))</f>
        <v/>
      </c>
      <c r="AO56" s="4052"/>
      <c r="AP56" s="4049" t="str">
        <f>IF(AP55="--","",VLOOKUP(AP55,firmas!A37:B38,2))</f>
        <v/>
      </c>
      <c r="AQ56" s="4050"/>
      <c r="AR56" s="3916" t="s">
        <v>14</v>
      </c>
      <c r="AS56" s="3917"/>
      <c r="AT56" s="4048" t="s">
        <v>97</v>
      </c>
      <c r="AU56" s="4046"/>
      <c r="AV56" s="4047"/>
      <c r="AW56" s="4046" t="s">
        <v>315</v>
      </c>
      <c r="AX56" s="4047"/>
      <c r="AY56" s="4044" t="s">
        <v>323</v>
      </c>
      <c r="AZ56" s="4045"/>
      <c r="BA56" s="241"/>
    </row>
    <row r="57" spans="5:67" ht="9" customHeight="1" thickTop="1" thickBot="1">
      <c r="AK57" s="4043" t="s">
        <v>15</v>
      </c>
      <c r="AL57" s="4043"/>
      <c r="AM57" s="4043"/>
      <c r="AN57" s="4043"/>
      <c r="AO57" s="4043"/>
      <c r="AP57" s="4043"/>
      <c r="AQ57" s="4043"/>
      <c r="AR57" s="4041" t="s">
        <v>24</v>
      </c>
      <c r="AS57" s="2047"/>
      <c r="AT57" s="2047"/>
      <c r="AU57" s="2047"/>
      <c r="AV57" s="2047"/>
      <c r="AW57" s="2047"/>
      <c r="AX57" s="2047"/>
      <c r="AY57" s="2047"/>
      <c r="AZ57" s="4042"/>
      <c r="BA57" s="241"/>
      <c r="BO57" s="241" t="s">
        <v>0</v>
      </c>
    </row>
    <row r="58" spans="5:67" ht="9" customHeight="1" thickTop="1">
      <c r="AK58" s="2275"/>
      <c r="AL58" s="2275"/>
      <c r="AM58" s="2275"/>
      <c r="AN58" s="2275"/>
      <c r="AO58" s="2275"/>
      <c r="AP58" s="2275"/>
      <c r="AQ58" s="2275"/>
      <c r="AR58" s="4038" t="s">
        <v>15</v>
      </c>
      <c r="AS58" s="2048"/>
      <c r="AT58" s="2048"/>
      <c r="AU58" s="2048"/>
      <c r="AV58" s="2048"/>
      <c r="AW58" s="2048"/>
      <c r="AX58" s="2048"/>
      <c r="AY58" s="2048"/>
      <c r="AZ58" s="2048"/>
      <c r="BA58" s="241"/>
    </row>
    <row r="59" spans="5:67" ht="27.95" customHeight="1">
      <c r="R59" s="316"/>
      <c r="S59" s="316"/>
      <c r="T59" s="316"/>
      <c r="U59" s="316"/>
      <c r="V59" s="316"/>
      <c r="W59" s="316"/>
      <c r="X59" s="4017"/>
      <c r="Y59" s="4017"/>
      <c r="Z59" s="316"/>
      <c r="AA59" s="4017"/>
      <c r="AB59" s="4017"/>
      <c r="AD59" s="316"/>
      <c r="AG59" s="308"/>
      <c r="AH59" s="308"/>
      <c r="AK59" s="1783" t="s">
        <v>16</v>
      </c>
      <c r="AL59" s="1783"/>
      <c r="AM59" s="1783"/>
      <c r="AN59" s="1783"/>
      <c r="AO59" s="1783"/>
      <c r="AP59" s="1783"/>
      <c r="AQ59" s="1783"/>
      <c r="AR59" s="4039" t="s">
        <v>16</v>
      </c>
      <c r="AS59" s="2274"/>
      <c r="AT59" s="2274"/>
      <c r="AU59" s="2274"/>
      <c r="AV59" s="2274"/>
      <c r="AW59" s="2274"/>
      <c r="AX59" s="2274"/>
      <c r="AY59" s="2274"/>
      <c r="AZ59" s="2274"/>
      <c r="BA59" s="241"/>
    </row>
    <row r="60" spans="5:67" s="619" customFormat="1" ht="30" customHeight="1">
      <c r="R60" s="669"/>
      <c r="S60" s="669"/>
      <c r="T60" s="669"/>
      <c r="U60" s="669"/>
      <c r="V60" s="669"/>
      <c r="W60" s="669"/>
      <c r="X60" s="669"/>
      <c r="Y60" s="669"/>
      <c r="Z60" s="669"/>
      <c r="AA60" s="669"/>
      <c r="AB60" s="669"/>
      <c r="AC60" s="669"/>
      <c r="AD60" s="670"/>
      <c r="AE60" s="670"/>
      <c r="AF60" s="670"/>
      <c r="AG60" s="670"/>
      <c r="AH60" s="670"/>
      <c r="AJ60" s="671"/>
      <c r="AK60" s="672"/>
      <c r="AL60" s="672"/>
      <c r="AM60" s="672"/>
      <c r="AN60" s="672"/>
      <c r="AO60" s="672"/>
      <c r="AP60" s="672"/>
      <c r="AQ60" s="672"/>
      <c r="AS60" s="498"/>
      <c r="AT60" s="498"/>
      <c r="AU60" s="498"/>
      <c r="AV60" s="498"/>
      <c r="AW60" s="498"/>
      <c r="AX60" s="498"/>
      <c r="AY60" s="498"/>
      <c r="AZ60" s="498"/>
    </row>
    <row r="61" spans="5:67" s="619" customFormat="1" ht="12.75" customHeight="1" thickBot="1">
      <c r="R61" s="669"/>
      <c r="S61" s="669"/>
      <c r="T61" s="669"/>
      <c r="U61" s="669"/>
      <c r="V61" s="669"/>
      <c r="W61" s="669"/>
      <c r="X61" s="669"/>
      <c r="Y61" s="669"/>
      <c r="Z61" s="669"/>
      <c r="AA61" s="669"/>
      <c r="AB61" s="669"/>
      <c r="AC61" s="669"/>
      <c r="AD61" s="670"/>
      <c r="AE61" s="670"/>
      <c r="AF61" s="670"/>
      <c r="AG61" s="670"/>
      <c r="AH61" s="670"/>
      <c r="AJ61" s="671"/>
      <c r="AK61" s="672"/>
      <c r="AL61" s="672"/>
      <c r="AM61" s="672"/>
      <c r="AN61" s="672"/>
      <c r="AO61" s="672"/>
      <c r="AP61" s="672"/>
      <c r="AQ61" s="672"/>
      <c r="AS61" s="498"/>
      <c r="AT61" s="498"/>
      <c r="AU61" s="498"/>
      <c r="AV61" s="498"/>
      <c r="AW61" s="498"/>
      <c r="AX61" s="498"/>
      <c r="AY61" s="498"/>
      <c r="AZ61" s="498"/>
      <c r="BA61" s="672"/>
    </row>
    <row r="62" spans="5:67" s="619" customFormat="1">
      <c r="R62" s="669"/>
      <c r="S62" s="669"/>
      <c r="T62" s="669"/>
      <c r="U62" s="669"/>
      <c r="V62" s="669"/>
      <c r="W62" s="669"/>
      <c r="X62" s="669"/>
      <c r="Y62" s="669"/>
      <c r="Z62" s="669"/>
      <c r="AA62" s="669"/>
      <c r="AB62" s="669"/>
      <c r="AC62" s="669"/>
      <c r="AD62" s="670"/>
      <c r="AE62" s="670"/>
      <c r="AF62" s="670"/>
      <c r="AJ62" s="671"/>
      <c r="AK62" s="672"/>
      <c r="AL62" s="4004" t="s">
        <v>276</v>
      </c>
      <c r="AM62" s="4005"/>
      <c r="AN62" s="672"/>
      <c r="AO62" s="4008" t="s">
        <v>276</v>
      </c>
      <c r="AP62" s="4009"/>
      <c r="AQ62" s="672"/>
      <c r="AS62" s="498"/>
      <c r="AT62" s="498"/>
      <c r="AU62" s="498"/>
      <c r="AV62" s="498"/>
      <c r="AW62" s="498"/>
      <c r="AX62" s="498"/>
      <c r="AY62" s="498"/>
      <c r="AZ62" s="498"/>
      <c r="BA62" s="672"/>
    </row>
    <row r="63" spans="5:67" s="619" customFormat="1" ht="12" customHeight="1">
      <c r="R63" s="669"/>
      <c r="S63" s="669"/>
      <c r="T63" s="669"/>
      <c r="U63" s="669"/>
      <c r="V63" s="669"/>
      <c r="W63" s="669"/>
      <c r="X63" s="669"/>
      <c r="Y63" s="669"/>
      <c r="Z63" s="669"/>
      <c r="AA63" s="669"/>
      <c r="AB63" s="669"/>
      <c r="AC63" s="669"/>
      <c r="AD63" s="670"/>
      <c r="AE63" s="670"/>
      <c r="AF63" s="670"/>
      <c r="AJ63" s="671"/>
      <c r="AK63" s="672"/>
      <c r="AL63" s="4006"/>
      <c r="AM63" s="4007"/>
      <c r="AN63" s="672"/>
      <c r="AO63" s="4010"/>
      <c r="AP63" s="4011"/>
      <c r="AQ63" s="672"/>
      <c r="AS63" s="498"/>
      <c r="AT63" s="498"/>
      <c r="AU63" s="498"/>
      <c r="AV63" s="498"/>
      <c r="AW63" s="498"/>
      <c r="AX63" s="498"/>
      <c r="AY63" s="498"/>
      <c r="AZ63" s="498"/>
      <c r="BA63" s="672"/>
    </row>
    <row r="64" spans="5:67" s="3" customFormat="1" ht="54" customHeight="1" thickBot="1">
      <c r="R64" s="669"/>
      <c r="S64" s="669"/>
      <c r="T64" s="669"/>
      <c r="U64" s="669"/>
      <c r="V64" s="669"/>
      <c r="W64" s="669"/>
      <c r="X64" s="669"/>
      <c r="Y64" s="669"/>
      <c r="Z64" s="669"/>
      <c r="AA64" s="669"/>
      <c r="AB64" s="669"/>
      <c r="AC64" s="669"/>
      <c r="AD64" s="673"/>
      <c r="AE64" s="673"/>
      <c r="AF64" s="673"/>
      <c r="AJ64" s="674"/>
      <c r="AK64" s="672"/>
      <c r="AL64" s="675" t="s">
        <v>277</v>
      </c>
      <c r="AM64" s="676" t="s">
        <v>274</v>
      </c>
      <c r="AN64" s="672"/>
      <c r="AO64" s="4012" t="s">
        <v>278</v>
      </c>
      <c r="AP64" s="4014" t="str">
        <f>IF(PROCTOR!J35="","",+PROCTOR!J35)</f>
        <v/>
      </c>
      <c r="AQ64" s="672"/>
      <c r="AR64" s="619"/>
      <c r="AS64" s="498"/>
      <c r="AT64" s="498"/>
      <c r="AU64" s="498"/>
      <c r="AV64" s="498"/>
      <c r="AW64" s="498"/>
      <c r="AX64" s="498"/>
      <c r="AY64" s="498"/>
      <c r="AZ64" s="498"/>
      <c r="BA64" s="672"/>
    </row>
    <row r="65" spans="2:53" s="3" customFormat="1" ht="18.75" thickBot="1">
      <c r="R65" s="669"/>
      <c r="S65" s="669"/>
      <c r="T65" s="669"/>
      <c r="U65" s="669"/>
      <c r="V65" s="669"/>
      <c r="W65" s="669"/>
      <c r="X65" s="669"/>
      <c r="Y65" s="669"/>
      <c r="Z65" s="669"/>
      <c r="AA65" s="669"/>
      <c r="AB65" s="669"/>
      <c r="AC65" s="669"/>
      <c r="AD65" s="673"/>
      <c r="AE65" s="673"/>
      <c r="AF65" s="673"/>
      <c r="AJ65" s="674"/>
      <c r="AK65" s="672"/>
      <c r="AL65" s="677" t="str">
        <f>+AW26</f>
        <v/>
      </c>
      <c r="AM65" s="678" t="str">
        <f>+AW29</f>
        <v/>
      </c>
      <c r="AN65" s="672"/>
      <c r="AO65" s="4013"/>
      <c r="AP65" s="4015"/>
      <c r="AQ65" s="672"/>
      <c r="AR65" s="619"/>
      <c r="AS65" s="498"/>
      <c r="AT65" s="498"/>
      <c r="AU65" s="498"/>
      <c r="AV65" s="498"/>
      <c r="AW65" s="498"/>
      <c r="AX65" s="498"/>
      <c r="AY65" s="498"/>
      <c r="AZ65" s="498"/>
      <c r="BA65" s="672"/>
    </row>
    <row r="66" spans="2:53" s="3" customFormat="1" ht="14.45" customHeight="1">
      <c r="R66" s="669"/>
      <c r="S66" s="669"/>
      <c r="T66" s="669"/>
      <c r="U66" s="669"/>
      <c r="V66" s="669"/>
      <c r="W66" s="669"/>
      <c r="X66" s="669"/>
      <c r="Y66" s="669"/>
      <c r="Z66" s="669"/>
      <c r="AA66" s="669"/>
      <c r="AB66" s="669"/>
      <c r="AC66" s="669"/>
      <c r="AD66" s="673"/>
      <c r="AE66" s="673"/>
      <c r="AF66" s="673"/>
      <c r="AJ66" s="674"/>
      <c r="AK66" s="672"/>
      <c r="AL66" s="679" t="str">
        <f>+AX26</f>
        <v/>
      </c>
      <c r="AM66" s="680" t="str">
        <f>+AX29</f>
        <v/>
      </c>
      <c r="AN66" s="672"/>
      <c r="AO66" s="672"/>
      <c r="AP66" s="672"/>
      <c r="AQ66" s="672"/>
      <c r="AR66" s="619"/>
      <c r="AS66" s="498"/>
      <c r="AT66" s="498"/>
      <c r="AU66" s="498"/>
      <c r="AV66" s="498"/>
      <c r="AW66" s="498"/>
      <c r="AX66" s="498"/>
      <c r="AY66" s="498"/>
      <c r="AZ66" s="498"/>
      <c r="BA66" s="672"/>
    </row>
    <row r="67" spans="2:53" s="3" customFormat="1" ht="15.75" customHeight="1" thickBot="1">
      <c r="R67" s="669"/>
      <c r="S67" s="669"/>
      <c r="T67" s="669"/>
      <c r="U67" s="669"/>
      <c r="V67" s="669"/>
      <c r="W67" s="669"/>
      <c r="X67" s="669"/>
      <c r="Y67" s="669"/>
      <c r="Z67" s="669"/>
      <c r="AA67" s="669"/>
      <c r="AB67" s="669"/>
      <c r="AC67" s="669"/>
      <c r="AD67" s="673"/>
      <c r="AE67" s="673"/>
      <c r="AF67" s="673"/>
      <c r="AJ67" s="674"/>
      <c r="AK67" s="672"/>
      <c r="AL67" s="681" t="str">
        <f>+AY26</f>
        <v/>
      </c>
      <c r="AM67" s="682" t="str">
        <f>+AY29</f>
        <v/>
      </c>
      <c r="AN67" s="672"/>
      <c r="AO67" s="4016" t="s">
        <v>272</v>
      </c>
      <c r="AP67" s="4016" t="s">
        <v>277</v>
      </c>
      <c r="AQ67" s="672"/>
      <c r="AR67" s="619"/>
      <c r="AS67" s="498"/>
      <c r="AT67" s="498"/>
      <c r="AU67" s="498"/>
      <c r="AV67" s="498"/>
      <c r="AW67" s="498"/>
      <c r="AX67" s="498"/>
      <c r="AY67" s="498"/>
      <c r="AZ67" s="498"/>
      <c r="BA67" s="672"/>
    </row>
    <row r="68" spans="2:53" s="3" customFormat="1" ht="9.75" customHeight="1">
      <c r="R68" s="669"/>
      <c r="S68" s="669"/>
      <c r="T68" s="669"/>
      <c r="U68" s="669"/>
      <c r="V68" s="669"/>
      <c r="W68" s="669"/>
      <c r="X68" s="669"/>
      <c r="Y68" s="669"/>
      <c r="Z68" s="669"/>
      <c r="AA68" s="669"/>
      <c r="AB68" s="669"/>
      <c r="AC68" s="669"/>
      <c r="AD68" s="673"/>
      <c r="AE68" s="673"/>
      <c r="AF68" s="673"/>
      <c r="AJ68" s="674"/>
      <c r="AK68" s="672"/>
      <c r="AL68" s="683"/>
      <c r="AM68" s="683"/>
      <c r="AN68" s="672"/>
      <c r="AO68" s="4016"/>
      <c r="AP68" s="4016"/>
      <c r="AQ68" s="672"/>
      <c r="AR68" s="619"/>
      <c r="AS68" s="498"/>
      <c r="AT68" s="498"/>
      <c r="AU68" s="498"/>
      <c r="AV68" s="498"/>
      <c r="AW68" s="498"/>
      <c r="AX68" s="498"/>
      <c r="AY68" s="498"/>
      <c r="AZ68" s="498"/>
      <c r="BA68" s="672"/>
    </row>
    <row r="69" spans="2:53" s="3" customFormat="1" ht="18.75" customHeight="1">
      <c r="R69" s="669"/>
      <c r="S69" s="669"/>
      <c r="T69" s="669"/>
      <c r="U69" s="669"/>
      <c r="V69" s="669"/>
      <c r="W69" s="669"/>
      <c r="X69" s="669"/>
      <c r="Y69" s="669"/>
      <c r="Z69" s="669"/>
      <c r="AA69" s="669"/>
      <c r="AB69" s="669"/>
      <c r="AC69" s="669"/>
      <c r="AD69" s="673"/>
      <c r="AE69" s="673"/>
      <c r="AF69" s="673"/>
      <c r="AJ69" s="674"/>
      <c r="AK69" s="672"/>
      <c r="AL69" s="683"/>
      <c r="AM69" s="683"/>
      <c r="AN69" s="672"/>
      <c r="AO69" s="684">
        <v>100</v>
      </c>
      <c r="AP69" s="685" t="str">
        <f>IF(AP64="","",$AP$64*AO69/100)</f>
        <v/>
      </c>
      <c r="AQ69" s="672"/>
      <c r="AR69" s="619"/>
      <c r="AS69" s="498"/>
      <c r="AT69" s="498"/>
      <c r="AU69" s="498"/>
      <c r="AV69" s="498"/>
      <c r="AW69" s="498"/>
      <c r="AX69" s="498"/>
      <c r="AY69" s="498"/>
      <c r="AZ69" s="498"/>
      <c r="BA69" s="672"/>
    </row>
    <row r="70" spans="2:53" s="3" customFormat="1" ht="30" customHeight="1">
      <c r="R70" s="669"/>
      <c r="S70" s="669"/>
      <c r="T70" s="669"/>
      <c r="U70" s="669"/>
      <c r="V70" s="669"/>
      <c r="W70" s="669"/>
      <c r="X70" s="669"/>
      <c r="Y70" s="669"/>
      <c r="Z70" s="669"/>
      <c r="AA70" s="669"/>
      <c r="AB70" s="669"/>
      <c r="AC70" s="669"/>
      <c r="AD70" s="673"/>
      <c r="AE70" s="673"/>
      <c r="AF70" s="673"/>
      <c r="AJ70" s="674"/>
      <c r="AK70" s="4025" t="s">
        <v>279</v>
      </c>
      <c r="AL70" s="4025"/>
      <c r="AM70" s="4025"/>
      <c r="AN70" s="672"/>
      <c r="AO70" s="684">
        <v>98</v>
      </c>
      <c r="AP70" s="685" t="str">
        <f>IF(AP64="","",$AP$64*AO70/100)</f>
        <v/>
      </c>
      <c r="AQ70" s="672"/>
      <c r="AR70" s="619"/>
      <c r="AS70" s="498"/>
      <c r="AT70" s="498"/>
      <c r="AU70" s="498"/>
      <c r="AV70" s="498"/>
      <c r="AW70" s="498"/>
      <c r="AX70" s="498"/>
      <c r="AY70" s="498"/>
      <c r="AZ70" s="498"/>
      <c r="BA70" s="672"/>
    </row>
    <row r="71" spans="2:53" s="3" customFormat="1" ht="33" customHeight="1">
      <c r="R71" s="669"/>
      <c r="S71" s="669"/>
      <c r="T71" s="669"/>
      <c r="U71" s="669"/>
      <c r="V71" s="669"/>
      <c r="W71" s="669"/>
      <c r="X71" s="669"/>
      <c r="Y71" s="669"/>
      <c r="Z71" s="669"/>
      <c r="AA71" s="669"/>
      <c r="AB71" s="669"/>
      <c r="AC71" s="669"/>
      <c r="AD71" s="673"/>
      <c r="AE71" s="673"/>
      <c r="AF71" s="673"/>
      <c r="AJ71" s="674"/>
      <c r="AK71" s="4025"/>
      <c r="AL71" s="4025"/>
      <c r="AM71" s="4025"/>
      <c r="AN71" s="672"/>
      <c r="AO71" s="684">
        <v>95</v>
      </c>
      <c r="AP71" s="685" t="str">
        <f>IF(AP64="","",$AP$64*AO71/100)</f>
        <v/>
      </c>
      <c r="AQ71" s="672"/>
      <c r="AR71" s="619"/>
      <c r="AS71" s="498"/>
      <c r="AT71" s="498"/>
      <c r="AU71" s="498"/>
      <c r="AV71" s="498"/>
      <c r="AW71" s="498"/>
      <c r="AX71" s="498"/>
      <c r="AY71" s="498"/>
      <c r="AZ71" s="498"/>
      <c r="BA71" s="672"/>
    </row>
    <row r="72" spans="2:53" s="3" customFormat="1" ht="16.5" customHeight="1">
      <c r="R72" s="669"/>
      <c r="S72" s="669"/>
      <c r="T72" s="669"/>
      <c r="U72" s="669"/>
      <c r="V72" s="669"/>
      <c r="W72" s="669"/>
      <c r="X72" s="669"/>
      <c r="Y72" s="669"/>
      <c r="Z72" s="669"/>
      <c r="AA72" s="669"/>
      <c r="AB72" s="669"/>
      <c r="AC72" s="669"/>
      <c r="AD72" s="673"/>
      <c r="AE72" s="673"/>
      <c r="AF72" s="673"/>
      <c r="AJ72" s="674"/>
      <c r="AK72" s="4025" t="s">
        <v>280</v>
      </c>
      <c r="AL72" s="686" t="s">
        <v>281</v>
      </c>
      <c r="AM72" s="686" t="e">
        <f>AL90</f>
        <v>#VALUE!</v>
      </c>
      <c r="AN72" s="672"/>
      <c r="AO72" s="684">
        <v>90</v>
      </c>
      <c r="AP72" s="685" t="str">
        <f>IF(AP64="","",$AP$64*AO72/100)</f>
        <v/>
      </c>
      <c r="AQ72" s="672"/>
      <c r="AR72" s="619"/>
      <c r="AS72" s="498"/>
      <c r="AT72" s="498"/>
      <c r="AU72" s="498"/>
      <c r="AV72" s="498"/>
      <c r="AW72" s="498"/>
      <c r="AX72" s="498"/>
      <c r="AY72" s="498"/>
      <c r="AZ72" s="498"/>
      <c r="BA72" s="672"/>
    </row>
    <row r="73" spans="2:53" s="619" customFormat="1" ht="16.5" customHeight="1" thickBot="1">
      <c r="R73" s="669"/>
      <c r="S73" s="669"/>
      <c r="T73" s="669"/>
      <c r="U73" s="669"/>
      <c r="V73" s="669"/>
      <c r="W73" s="669"/>
      <c r="X73" s="669"/>
      <c r="Y73" s="669"/>
      <c r="Z73" s="669"/>
      <c r="AA73" s="669"/>
      <c r="AB73" s="669"/>
      <c r="AC73" s="669"/>
      <c r="AD73" s="670"/>
      <c r="AE73" s="670"/>
      <c r="AF73" s="670"/>
      <c r="AJ73" s="671"/>
      <c r="AK73" s="4025"/>
      <c r="AL73" s="686" t="s">
        <v>282</v>
      </c>
      <c r="AM73" s="686" t="e">
        <f>AM90</f>
        <v>#VALUE!</v>
      </c>
      <c r="AN73" s="672"/>
      <c r="AO73" s="672"/>
      <c r="AP73" s="672"/>
      <c r="AQ73" s="672"/>
      <c r="AS73" s="498"/>
      <c r="AT73" s="498"/>
      <c r="AU73" s="498"/>
      <c r="AV73" s="498"/>
      <c r="AW73" s="498"/>
      <c r="AX73" s="498"/>
      <c r="AY73" s="498"/>
      <c r="AZ73" s="498"/>
      <c r="BA73" s="672"/>
    </row>
    <row r="74" spans="2:53" s="619" customFormat="1" ht="16.5" customHeight="1" thickTop="1">
      <c r="R74" s="670"/>
      <c r="S74" s="670"/>
      <c r="T74" s="670"/>
      <c r="U74" s="670"/>
      <c r="V74" s="670"/>
      <c r="W74" s="670"/>
      <c r="X74" s="670"/>
      <c r="Y74" s="670"/>
      <c r="Z74" s="670"/>
      <c r="AA74" s="670"/>
      <c r="AB74" s="670"/>
      <c r="AC74" s="670"/>
      <c r="AD74" s="670"/>
      <c r="AE74" s="670"/>
      <c r="AF74" s="670"/>
      <c r="AJ74" s="671"/>
      <c r="AK74" s="4025"/>
      <c r="AL74" s="686" t="s">
        <v>283</v>
      </c>
      <c r="AM74" s="686" t="e">
        <f>AL92</f>
        <v>#VALUE!</v>
      </c>
      <c r="AN74" s="672"/>
      <c r="AO74" s="4026" t="s">
        <v>284</v>
      </c>
      <c r="AP74" s="4027"/>
      <c r="AQ74" s="672"/>
      <c r="AS74" s="498"/>
      <c r="AT74" s="498"/>
      <c r="AU74" s="498"/>
      <c r="AV74" s="498"/>
      <c r="AW74" s="498"/>
      <c r="AX74" s="498"/>
      <c r="AY74" s="498"/>
      <c r="AZ74" s="498"/>
      <c r="BA74" s="672"/>
    </row>
    <row r="75" spans="2:53" s="619" customFormat="1" ht="16.5" customHeight="1">
      <c r="R75" s="670"/>
      <c r="S75" s="670"/>
      <c r="T75" s="670"/>
      <c r="U75" s="670"/>
      <c r="V75" s="670"/>
      <c r="W75" s="670"/>
      <c r="X75" s="670"/>
      <c r="Y75" s="670"/>
      <c r="Z75" s="670"/>
      <c r="AA75" s="670"/>
      <c r="AB75" s="670"/>
      <c r="AC75" s="670"/>
      <c r="AD75" s="670"/>
      <c r="AE75" s="670"/>
      <c r="AF75" s="670"/>
      <c r="AJ75" s="671"/>
      <c r="AK75" s="672"/>
      <c r="AL75" s="672"/>
      <c r="AM75" s="686"/>
      <c r="AN75" s="672"/>
      <c r="AO75" s="4028"/>
      <c r="AP75" s="4029"/>
      <c r="AQ75" s="672"/>
      <c r="AS75" s="498"/>
      <c r="AT75" s="498"/>
      <c r="AU75" s="498"/>
      <c r="AV75" s="498"/>
      <c r="AW75" s="498"/>
      <c r="AX75" s="498"/>
      <c r="AY75" s="498"/>
      <c r="AZ75" s="498"/>
      <c r="BA75" s="672"/>
    </row>
    <row r="76" spans="2:53" s="619" customFormat="1" ht="16.5" customHeight="1">
      <c r="R76" s="670"/>
      <c r="S76" s="670"/>
      <c r="T76" s="670"/>
      <c r="U76" s="670"/>
      <c r="V76" s="670"/>
      <c r="W76" s="670"/>
      <c r="X76" s="670"/>
      <c r="Y76" s="670"/>
      <c r="Z76" s="670"/>
      <c r="AA76" s="670"/>
      <c r="AB76" s="670"/>
      <c r="AC76" s="670"/>
      <c r="AD76" s="670"/>
      <c r="AE76" s="670"/>
      <c r="AF76" s="670"/>
      <c r="AJ76" s="671"/>
      <c r="AK76" s="4025" t="s">
        <v>285</v>
      </c>
      <c r="AL76" s="686" t="s">
        <v>281</v>
      </c>
      <c r="AM76" s="686" t="e">
        <f>AL97</f>
        <v>#VALUE!</v>
      </c>
      <c r="AN76" s="672"/>
      <c r="AO76" s="4028"/>
      <c r="AP76" s="4029"/>
      <c r="AQ76" s="672"/>
      <c r="AS76" s="498"/>
      <c r="AT76" s="498"/>
      <c r="AU76" s="498"/>
      <c r="AV76" s="498"/>
      <c r="AW76" s="498"/>
      <c r="AX76" s="498"/>
      <c r="AY76" s="498"/>
      <c r="AZ76" s="498"/>
      <c r="BA76" s="672"/>
    </row>
    <row r="77" spans="2:53" s="619" customFormat="1" ht="16.5" customHeight="1">
      <c r="B77" s="687"/>
      <c r="C77" s="687"/>
      <c r="D77" s="687"/>
      <c r="E77" s="687"/>
      <c r="F77" s="687"/>
      <c r="G77" s="687"/>
      <c r="H77" s="687"/>
      <c r="I77" s="687"/>
      <c r="J77" s="687"/>
      <c r="K77" s="687"/>
      <c r="L77" s="687"/>
      <c r="M77" s="687"/>
      <c r="N77" s="687"/>
      <c r="O77" s="687"/>
      <c r="P77" s="687"/>
      <c r="Q77" s="687"/>
      <c r="R77" s="687"/>
      <c r="S77" s="687"/>
      <c r="T77" s="687"/>
      <c r="U77" s="687"/>
      <c r="V77" s="687"/>
      <c r="W77" s="687"/>
      <c r="X77" s="670"/>
      <c r="Y77" s="670"/>
      <c r="Z77" s="670"/>
      <c r="AA77" s="670"/>
      <c r="AB77" s="670"/>
      <c r="AC77" s="670"/>
      <c r="AD77" s="670"/>
      <c r="AE77" s="670"/>
      <c r="AF77" s="670"/>
      <c r="AJ77" s="671"/>
      <c r="AK77" s="4025"/>
      <c r="AL77" s="686" t="s">
        <v>282</v>
      </c>
      <c r="AM77" s="686" t="e">
        <f>AM97</f>
        <v>#VALUE!</v>
      </c>
      <c r="AN77" s="672"/>
      <c r="AO77" s="4028"/>
      <c r="AP77" s="4029"/>
      <c r="AQ77" s="672"/>
      <c r="AS77" s="498"/>
      <c r="AT77" s="498"/>
      <c r="AU77" s="498"/>
      <c r="AV77" s="498"/>
      <c r="AW77" s="498"/>
      <c r="AX77" s="498"/>
      <c r="AY77" s="498"/>
      <c r="AZ77" s="498"/>
      <c r="BA77" s="672"/>
    </row>
    <row r="78" spans="2:53" s="619" customFormat="1" ht="16.5" customHeight="1" thickBot="1">
      <c r="B78" s="687"/>
      <c r="C78" s="687"/>
      <c r="D78" s="687"/>
      <c r="E78" s="687"/>
      <c r="F78" s="687"/>
      <c r="G78" s="687"/>
      <c r="H78" s="687"/>
      <c r="I78" s="687"/>
      <c r="J78" s="687"/>
      <c r="K78" s="687"/>
      <c r="L78" s="687"/>
      <c r="M78" s="687"/>
      <c r="N78" s="687"/>
      <c r="O78" s="687"/>
      <c r="P78" s="687"/>
      <c r="Q78" s="687"/>
      <c r="R78" s="687"/>
      <c r="S78" s="687"/>
      <c r="T78" s="687"/>
      <c r="U78" s="687"/>
      <c r="V78" s="687"/>
      <c r="W78" s="687"/>
      <c r="X78" s="670"/>
      <c r="Y78" s="670"/>
      <c r="Z78" s="670"/>
      <c r="AA78" s="670"/>
      <c r="AB78" s="670"/>
      <c r="AC78" s="670"/>
      <c r="AD78" s="670"/>
      <c r="AE78" s="670"/>
      <c r="AF78" s="670"/>
      <c r="AJ78" s="671"/>
      <c r="AK78" s="4025"/>
      <c r="AL78" s="686" t="s">
        <v>283</v>
      </c>
      <c r="AM78" s="686" t="e">
        <f>AL99</f>
        <v>#VALUE!</v>
      </c>
      <c r="AN78" s="672"/>
      <c r="AO78" s="4030"/>
      <c r="AP78" s="4031"/>
      <c r="AQ78" s="672"/>
      <c r="AS78" s="498"/>
      <c r="AT78" s="498"/>
      <c r="AU78" s="498"/>
      <c r="AV78" s="498"/>
      <c r="AW78" s="498"/>
      <c r="AX78" s="498"/>
      <c r="AY78" s="498"/>
      <c r="AZ78" s="498"/>
      <c r="BA78" s="672"/>
    </row>
    <row r="79" spans="2:53" s="619" customFormat="1" ht="14.25" thickTop="1" thickBot="1">
      <c r="R79" s="670"/>
      <c r="S79" s="670"/>
      <c r="T79" s="670"/>
      <c r="U79" s="670"/>
      <c r="V79" s="670"/>
      <c r="W79" s="670"/>
      <c r="X79" s="670"/>
      <c r="Y79" s="670"/>
      <c r="Z79" s="670"/>
      <c r="AA79" s="670"/>
      <c r="AB79" s="670"/>
      <c r="AC79" s="670"/>
      <c r="AD79" s="670"/>
      <c r="AE79" s="670"/>
      <c r="AF79" s="670"/>
      <c r="AJ79" s="671"/>
      <c r="AK79" s="672"/>
      <c r="AL79" s="686"/>
      <c r="AM79" s="686"/>
      <c r="AN79" s="672"/>
      <c r="AO79" s="672"/>
      <c r="AP79" s="672"/>
      <c r="AQ79" s="672"/>
      <c r="AS79" s="498"/>
      <c r="AT79" s="498"/>
      <c r="AU79" s="498"/>
      <c r="AV79" s="498"/>
      <c r="AW79" s="498"/>
      <c r="AX79" s="498"/>
      <c r="AY79" s="498"/>
      <c r="AZ79" s="498"/>
      <c r="BA79" s="672"/>
    </row>
    <row r="80" spans="2:53" s="619" customFormat="1">
      <c r="R80" s="670"/>
      <c r="S80" s="670"/>
      <c r="T80" s="670"/>
      <c r="U80" s="670"/>
      <c r="V80" s="670"/>
      <c r="W80" s="670"/>
      <c r="X80" s="670"/>
      <c r="Y80" s="670"/>
      <c r="Z80" s="670"/>
      <c r="AA80" s="670"/>
      <c r="AB80" s="670"/>
      <c r="AC80" s="670"/>
      <c r="AD80" s="670"/>
      <c r="AE80" s="670"/>
      <c r="AF80" s="670"/>
      <c r="AJ80" s="671"/>
      <c r="AK80" s="672"/>
      <c r="AL80" s="4032" t="s">
        <v>272</v>
      </c>
      <c r="AM80" s="4034" t="s">
        <v>273</v>
      </c>
      <c r="AN80" s="4034" t="s">
        <v>274</v>
      </c>
      <c r="AO80" s="4036"/>
      <c r="AP80" s="672"/>
      <c r="AQ80" s="672"/>
      <c r="AS80" s="498"/>
      <c r="AT80" s="498"/>
      <c r="AU80" s="498"/>
      <c r="AV80" s="498"/>
      <c r="AW80" s="498"/>
      <c r="AX80" s="498"/>
      <c r="AY80" s="498"/>
      <c r="AZ80" s="498"/>
      <c r="BA80" s="672"/>
    </row>
    <row r="81" spans="18:53" s="619" customFormat="1">
      <c r="R81" s="670"/>
      <c r="S81" s="670"/>
      <c r="T81" s="670"/>
      <c r="U81" s="670"/>
      <c r="V81" s="670"/>
      <c r="W81" s="670"/>
      <c r="X81" s="670"/>
      <c r="Y81" s="670"/>
      <c r="Z81" s="670"/>
      <c r="AA81" s="670"/>
      <c r="AB81" s="670"/>
      <c r="AC81" s="670"/>
      <c r="AD81" s="670"/>
      <c r="AE81" s="670"/>
      <c r="AF81" s="670"/>
      <c r="AJ81" s="671"/>
      <c r="AK81" s="672"/>
      <c r="AL81" s="4033"/>
      <c r="AM81" s="4035"/>
      <c r="AN81" s="4035"/>
      <c r="AO81" s="4037"/>
      <c r="AP81" s="672"/>
      <c r="AQ81" s="672"/>
      <c r="AS81" s="498"/>
      <c r="AT81" s="498"/>
      <c r="AU81" s="498"/>
      <c r="AV81" s="498"/>
      <c r="AW81" s="498"/>
      <c r="AX81" s="498"/>
      <c r="AY81" s="498"/>
      <c r="AZ81" s="498"/>
      <c r="BA81" s="672"/>
    </row>
    <row r="82" spans="18:53" s="619" customFormat="1" ht="15" thickBot="1">
      <c r="R82" s="670"/>
      <c r="S82" s="670"/>
      <c r="T82" s="670"/>
      <c r="U82" s="670"/>
      <c r="V82" s="670"/>
      <c r="W82" s="670"/>
      <c r="X82" s="670"/>
      <c r="Y82" s="670"/>
      <c r="Z82" s="670"/>
      <c r="AA82" s="670"/>
      <c r="AB82" s="670"/>
      <c r="AC82" s="670"/>
      <c r="AD82" s="670"/>
      <c r="AE82" s="670"/>
      <c r="AF82" s="670"/>
      <c r="AJ82" s="671"/>
      <c r="AK82" s="672"/>
      <c r="AL82" s="688" t="s">
        <v>255</v>
      </c>
      <c r="AM82" s="689" t="s">
        <v>286</v>
      </c>
      <c r="AN82" s="4019" t="s">
        <v>255</v>
      </c>
      <c r="AO82" s="4020"/>
      <c r="AP82" s="672"/>
      <c r="AQ82" s="672"/>
      <c r="AS82" s="498"/>
      <c r="AT82" s="498"/>
      <c r="AU82" s="498"/>
      <c r="AV82" s="498"/>
      <c r="AW82" s="498"/>
      <c r="AX82" s="498"/>
      <c r="AY82" s="498"/>
      <c r="AZ82" s="498"/>
      <c r="BA82" s="672"/>
    </row>
    <row r="83" spans="18:53" s="619" customFormat="1" ht="15.75">
      <c r="R83" s="670"/>
      <c r="S83" s="670"/>
      <c r="T83" s="670"/>
      <c r="U83" s="670"/>
      <c r="V83" s="670"/>
      <c r="W83" s="670"/>
      <c r="X83" s="670"/>
      <c r="Y83" s="670"/>
      <c r="Z83" s="670"/>
      <c r="AA83" s="670"/>
      <c r="AB83" s="670"/>
      <c r="AC83" s="670"/>
      <c r="AD83" s="670"/>
      <c r="AE83" s="670"/>
      <c r="AF83" s="670"/>
      <c r="AJ83" s="671"/>
      <c r="AK83" s="672"/>
      <c r="AL83" s="690">
        <f t="shared" ref="AL83:AM86" si="8">AO69</f>
        <v>100</v>
      </c>
      <c r="AM83" s="691" t="str">
        <f t="shared" si="8"/>
        <v/>
      </c>
      <c r="AN83" s="4021" t="str">
        <f>IF(AND(AM83="",AL66=""),"",IF(AM83&gt;AL66,AM83*AM72+AM73,AM83*AM76+AM77))</f>
        <v/>
      </c>
      <c r="AO83" s="4022"/>
      <c r="AP83" s="672"/>
      <c r="AQ83" s="692"/>
      <c r="AS83" s="498"/>
      <c r="AT83" s="498"/>
      <c r="AU83" s="498"/>
      <c r="AV83" s="498"/>
      <c r="AW83" s="498"/>
      <c r="AX83" s="498"/>
      <c r="AY83" s="498"/>
      <c r="AZ83" s="498"/>
      <c r="BA83" s="672"/>
    </row>
    <row r="84" spans="18:53" s="619" customFormat="1" ht="15.75">
      <c r="R84" s="670"/>
      <c r="S84" s="670"/>
      <c r="T84" s="670"/>
      <c r="U84" s="670"/>
      <c r="V84" s="670"/>
      <c r="W84" s="670"/>
      <c r="X84" s="670"/>
      <c r="Y84" s="670"/>
      <c r="Z84" s="670"/>
      <c r="AA84" s="670"/>
      <c r="AB84" s="670"/>
      <c r="AC84" s="670"/>
      <c r="AD84" s="670"/>
      <c r="AE84" s="670"/>
      <c r="AF84" s="670"/>
      <c r="AJ84" s="671"/>
      <c r="AK84" s="672"/>
      <c r="AL84" s="693">
        <f t="shared" si="8"/>
        <v>98</v>
      </c>
      <c r="AM84" s="694" t="str">
        <f t="shared" si="8"/>
        <v/>
      </c>
      <c r="AN84" s="4023" t="str">
        <f>IF(AND(AM84="",AL66=""),"",IF(AM84&gt;AL66,AM84*AM72+AM73,AM84*AM76+AM77))</f>
        <v/>
      </c>
      <c r="AO84" s="4024"/>
      <c r="AP84" s="672"/>
      <c r="AQ84" s="692"/>
      <c r="AS84" s="498"/>
      <c r="AT84" s="498"/>
      <c r="AU84" s="498"/>
      <c r="AV84" s="498"/>
      <c r="AW84" s="498"/>
      <c r="AX84" s="498"/>
      <c r="AY84" s="498"/>
      <c r="AZ84" s="498"/>
      <c r="BA84" s="672"/>
    </row>
    <row r="85" spans="18:53" s="619" customFormat="1" ht="15.75">
      <c r="R85" s="670"/>
      <c r="S85" s="670"/>
      <c r="T85" s="670"/>
      <c r="U85" s="670"/>
      <c r="V85" s="670"/>
      <c r="W85" s="670"/>
      <c r="X85" s="670"/>
      <c r="Y85" s="670"/>
      <c r="Z85" s="670"/>
      <c r="AA85" s="670"/>
      <c r="AB85" s="670"/>
      <c r="AC85" s="670"/>
      <c r="AD85" s="670"/>
      <c r="AE85" s="670"/>
      <c r="AF85" s="670"/>
      <c r="AJ85" s="671"/>
      <c r="AK85" s="672"/>
      <c r="AL85" s="693">
        <f t="shared" si="8"/>
        <v>95</v>
      </c>
      <c r="AM85" s="694" t="str">
        <f t="shared" si="8"/>
        <v/>
      </c>
      <c r="AN85" s="4023" t="str">
        <f>IF(AND(AM85="",AL66=""),"",IF(AM85&gt;AL66,AM85*AM72+AM73,AM85*AM76+AM77))</f>
        <v/>
      </c>
      <c r="AO85" s="4024"/>
      <c r="AP85" s="672"/>
      <c r="AQ85" s="692"/>
      <c r="AS85" s="498"/>
      <c r="AT85" s="498"/>
      <c r="AU85" s="498"/>
      <c r="AV85" s="498"/>
      <c r="AW85" s="498"/>
      <c r="AX85" s="498"/>
      <c r="AY85" s="498"/>
      <c r="AZ85" s="498"/>
      <c r="BA85" s="672"/>
    </row>
    <row r="86" spans="18:53" s="619" customFormat="1" ht="16.5" thickBot="1">
      <c r="R86" s="670"/>
      <c r="S86" s="670"/>
      <c r="T86" s="670"/>
      <c r="U86" s="670"/>
      <c r="V86" s="670"/>
      <c r="W86" s="670"/>
      <c r="X86" s="670"/>
      <c r="Y86" s="670"/>
      <c r="Z86" s="670"/>
      <c r="AA86" s="670"/>
      <c r="AB86" s="670"/>
      <c r="AC86" s="670"/>
      <c r="AD86" s="670"/>
      <c r="AE86" s="670"/>
      <c r="AF86" s="670"/>
      <c r="AJ86" s="671"/>
      <c r="AK86" s="672"/>
      <c r="AL86" s="695">
        <f t="shared" si="8"/>
        <v>90</v>
      </c>
      <c r="AM86" s="696" t="str">
        <f t="shared" si="8"/>
        <v/>
      </c>
      <c r="AN86" s="4023" t="str">
        <f>IF(AND(AM86="",AL67=""),"",IF(AM86&gt;AL67,AM86*AM72+AM73,AM86*AM76+AM77))</f>
        <v/>
      </c>
      <c r="AO86" s="4024"/>
      <c r="AP86" s="672"/>
      <c r="AQ86" s="692"/>
      <c r="AS86" s="498"/>
      <c r="AT86" s="498"/>
      <c r="AU86" s="498"/>
      <c r="AV86" s="498"/>
      <c r="AW86" s="498"/>
      <c r="AX86" s="498"/>
      <c r="AY86" s="498"/>
      <c r="AZ86" s="498"/>
      <c r="BA86" s="672"/>
    </row>
    <row r="87" spans="18:53" s="619" customFormat="1">
      <c r="R87" s="670"/>
      <c r="S87" s="670"/>
      <c r="T87" s="670"/>
      <c r="U87" s="670"/>
      <c r="V87" s="670"/>
      <c r="W87" s="670"/>
      <c r="X87" s="670"/>
      <c r="Y87" s="670"/>
      <c r="Z87" s="670"/>
      <c r="AA87" s="670"/>
      <c r="AB87" s="670"/>
      <c r="AC87" s="670"/>
      <c r="AD87" s="670"/>
      <c r="AE87" s="670"/>
      <c r="AF87" s="670"/>
      <c r="AJ87" s="671"/>
      <c r="AK87" s="697"/>
      <c r="AL87" s="697"/>
      <c r="AM87" s="697"/>
      <c r="AN87" s="697"/>
      <c r="AO87" s="697"/>
      <c r="AP87" s="672"/>
      <c r="AQ87" s="672"/>
      <c r="AS87" s="498"/>
      <c r="AT87" s="498"/>
      <c r="AU87" s="498"/>
      <c r="AV87" s="498"/>
      <c r="AW87" s="498"/>
      <c r="AX87" s="498"/>
      <c r="AY87" s="498"/>
      <c r="AZ87" s="498"/>
      <c r="BA87" s="672"/>
    </row>
    <row r="88" spans="18:53" s="619" customFormat="1">
      <c r="R88" s="670"/>
      <c r="S88" s="670"/>
      <c r="T88" s="670"/>
      <c r="U88" s="670"/>
      <c r="V88" s="670"/>
      <c r="W88" s="670"/>
      <c r="X88" s="670"/>
      <c r="Y88" s="670"/>
      <c r="Z88" s="670"/>
      <c r="AA88" s="670"/>
      <c r="AB88" s="670"/>
      <c r="AC88" s="670"/>
      <c r="AD88" s="670"/>
      <c r="AE88" s="670"/>
      <c r="AF88" s="670"/>
      <c r="AJ88" s="671"/>
      <c r="AK88" s="697"/>
      <c r="AL88" s="697"/>
      <c r="AM88" s="697"/>
      <c r="AN88" s="697"/>
      <c r="AO88" s="697"/>
      <c r="AP88" s="698"/>
      <c r="AQ88" s="672"/>
      <c r="AS88" s="498"/>
      <c r="AT88" s="498"/>
      <c r="AU88" s="498"/>
      <c r="AV88" s="498"/>
      <c r="AW88" s="498"/>
      <c r="AX88" s="498"/>
      <c r="AY88" s="498"/>
      <c r="AZ88" s="498"/>
      <c r="BA88" s="672"/>
    </row>
    <row r="89" spans="18:53" s="619" customFormat="1">
      <c r="R89" s="670"/>
      <c r="S89" s="670"/>
      <c r="T89" s="670"/>
      <c r="U89" s="670"/>
      <c r="V89" s="670"/>
      <c r="W89" s="670"/>
      <c r="X89" s="670"/>
      <c r="Y89" s="670"/>
      <c r="Z89" s="670"/>
      <c r="AA89" s="670"/>
      <c r="AB89" s="670"/>
      <c r="AC89" s="670"/>
      <c r="AD89" s="670"/>
      <c r="AE89" s="670"/>
      <c r="AF89" s="670"/>
      <c r="AJ89" s="671"/>
      <c r="AK89" s="697"/>
      <c r="AL89" s="4018" t="s">
        <v>287</v>
      </c>
      <c r="AM89" s="4018"/>
      <c r="AN89" s="697"/>
      <c r="AO89" s="697"/>
      <c r="AP89" s="698"/>
      <c r="AQ89" s="672"/>
      <c r="AS89" s="498"/>
      <c r="AT89" s="498"/>
      <c r="AU89" s="498"/>
      <c r="AV89" s="498"/>
      <c r="AW89" s="498"/>
      <c r="AX89" s="498"/>
      <c r="AY89" s="498"/>
      <c r="AZ89" s="498"/>
      <c r="BA89" s="672"/>
    </row>
    <row r="90" spans="18:53" s="619" customFormat="1">
      <c r="R90" s="670"/>
      <c r="S90" s="670"/>
      <c r="T90" s="670"/>
      <c r="U90" s="670"/>
      <c r="V90" s="670"/>
      <c r="W90" s="670"/>
      <c r="X90" s="670"/>
      <c r="Y90" s="670"/>
      <c r="Z90" s="670"/>
      <c r="AA90" s="670"/>
      <c r="AB90" s="670"/>
      <c r="AC90" s="670"/>
      <c r="AD90" s="670"/>
      <c r="AE90" s="670"/>
      <c r="AF90" s="670"/>
      <c r="AJ90" s="671"/>
      <c r="AK90" s="697"/>
      <c r="AL90" s="697" t="e">
        <f t="array" ref="AL90:AM94">LINEST(AM65:AM66,AL65:AL66,TRUE,TRUE)</f>
        <v>#VALUE!</v>
      </c>
      <c r="AM90" s="697" t="e">
        <v>#VALUE!</v>
      </c>
      <c r="AN90" s="697"/>
      <c r="AO90" s="697" t="e">
        <f>LINEST(AL65:AL66,AM65:AM66,TRUE,TRUE)</f>
        <v>#VALUE!</v>
      </c>
      <c r="AP90" s="697" t="e">
        <f>LINEST(AL65:AL66,AM65:AM66,TRUE,FALSE)</f>
        <v>#VALUE!</v>
      </c>
      <c r="AQ90" s="672"/>
      <c r="AS90" s="498"/>
      <c r="AT90" s="498"/>
      <c r="AU90" s="498"/>
      <c r="AV90" s="498"/>
      <c r="AW90" s="498"/>
      <c r="AX90" s="498"/>
      <c r="AY90" s="498"/>
      <c r="AZ90" s="498"/>
      <c r="BA90" s="672"/>
    </row>
    <row r="91" spans="18:53" s="619" customFormat="1">
      <c r="R91" s="670"/>
      <c r="S91" s="670"/>
      <c r="T91" s="670"/>
      <c r="U91" s="670"/>
      <c r="V91" s="670"/>
      <c r="W91" s="670"/>
      <c r="X91" s="670"/>
      <c r="Y91" s="670"/>
      <c r="Z91" s="670"/>
      <c r="AA91" s="670"/>
      <c r="AB91" s="670"/>
      <c r="AC91" s="670"/>
      <c r="AD91" s="670"/>
      <c r="AE91" s="670"/>
      <c r="AF91" s="670"/>
      <c r="AJ91" s="671"/>
      <c r="AK91" s="697"/>
      <c r="AL91" s="697" t="e">
        <v>#VALUE!</v>
      </c>
      <c r="AM91" s="697" t="e">
        <v>#VALUE!</v>
      </c>
      <c r="AN91" s="697"/>
      <c r="AO91" s="697"/>
      <c r="AP91" s="698"/>
      <c r="AQ91" s="672"/>
      <c r="AS91" s="498"/>
      <c r="AT91" s="498"/>
      <c r="AU91" s="498"/>
      <c r="AV91" s="498"/>
      <c r="AW91" s="498"/>
      <c r="AX91" s="498"/>
      <c r="AY91" s="498"/>
      <c r="AZ91" s="498"/>
      <c r="BA91" s="672"/>
    </row>
    <row r="92" spans="18:53" s="619" customFormat="1">
      <c r="R92" s="670"/>
      <c r="S92" s="670"/>
      <c r="T92" s="670"/>
      <c r="U92" s="670"/>
      <c r="V92" s="670"/>
      <c r="W92" s="670"/>
      <c r="X92" s="670"/>
      <c r="Y92" s="670"/>
      <c r="Z92" s="670"/>
      <c r="AA92" s="670"/>
      <c r="AB92" s="670"/>
      <c r="AC92" s="670"/>
      <c r="AD92" s="670"/>
      <c r="AE92" s="670"/>
      <c r="AF92" s="670"/>
      <c r="AJ92" s="671"/>
      <c r="AK92" s="697"/>
      <c r="AL92" s="697" t="e">
        <v>#VALUE!</v>
      </c>
      <c r="AM92" s="697" t="e">
        <v>#VALUE!</v>
      </c>
      <c r="AN92" s="697"/>
      <c r="AO92" s="697"/>
      <c r="AP92" s="698"/>
      <c r="AQ92" s="672"/>
      <c r="AS92" s="498"/>
      <c r="AT92" s="498"/>
      <c r="AU92" s="498"/>
      <c r="AV92" s="498"/>
      <c r="AW92" s="498"/>
      <c r="AX92" s="498"/>
      <c r="AY92" s="498"/>
      <c r="AZ92" s="498"/>
      <c r="BA92" s="672"/>
    </row>
    <row r="93" spans="18:53" s="619" customFormat="1">
      <c r="R93" s="670"/>
      <c r="S93" s="670"/>
      <c r="T93" s="670"/>
      <c r="U93" s="670"/>
      <c r="V93" s="670"/>
      <c r="W93" s="670"/>
      <c r="X93" s="670"/>
      <c r="Y93" s="670"/>
      <c r="Z93" s="670"/>
      <c r="AA93" s="670"/>
      <c r="AB93" s="670"/>
      <c r="AC93" s="670"/>
      <c r="AD93" s="670"/>
      <c r="AE93" s="670"/>
      <c r="AF93" s="670"/>
      <c r="AJ93" s="671"/>
      <c r="AK93" s="697"/>
      <c r="AL93" s="697" t="e">
        <v>#VALUE!</v>
      </c>
      <c r="AM93" s="697" t="e">
        <v>#VALUE!</v>
      </c>
      <c r="AN93" s="697"/>
      <c r="AO93" s="697"/>
      <c r="AP93" s="698"/>
      <c r="AQ93" s="672"/>
      <c r="AS93" s="498"/>
      <c r="AT93" s="498"/>
      <c r="AU93" s="498"/>
      <c r="AV93" s="498"/>
      <c r="AW93" s="498"/>
      <c r="AX93" s="498"/>
      <c r="AY93" s="498"/>
      <c r="AZ93" s="498"/>
      <c r="BA93" s="672"/>
    </row>
    <row r="94" spans="18:53" s="619" customFormat="1">
      <c r="R94" s="670"/>
      <c r="S94" s="670"/>
      <c r="T94" s="670"/>
      <c r="U94" s="670"/>
      <c r="V94" s="670"/>
      <c r="W94" s="670"/>
      <c r="X94" s="670"/>
      <c r="Y94" s="670"/>
      <c r="Z94" s="670"/>
      <c r="AA94" s="670"/>
      <c r="AB94" s="670"/>
      <c r="AC94" s="670"/>
      <c r="AD94" s="670"/>
      <c r="AE94" s="670"/>
      <c r="AF94" s="670"/>
      <c r="AJ94" s="671"/>
      <c r="AK94" s="697"/>
      <c r="AL94" s="697" t="e">
        <v>#VALUE!</v>
      </c>
      <c r="AM94" s="697" t="e">
        <v>#VALUE!</v>
      </c>
      <c r="AN94" s="697"/>
      <c r="AO94" s="697"/>
      <c r="AP94" s="698"/>
      <c r="AQ94" s="672"/>
      <c r="AS94" s="498"/>
      <c r="AT94" s="498"/>
      <c r="AU94" s="498"/>
      <c r="AV94" s="498"/>
      <c r="AW94" s="498"/>
      <c r="AX94" s="498"/>
      <c r="AY94" s="498"/>
      <c r="AZ94" s="498"/>
      <c r="BA94" s="672"/>
    </row>
    <row r="95" spans="18:53" s="619" customFormat="1">
      <c r="R95" s="670"/>
      <c r="S95" s="670"/>
      <c r="T95" s="670"/>
      <c r="U95" s="670"/>
      <c r="V95" s="670"/>
      <c r="W95" s="670"/>
      <c r="X95" s="670"/>
      <c r="Y95" s="670"/>
      <c r="Z95" s="670"/>
      <c r="AA95" s="670"/>
      <c r="AB95" s="670"/>
      <c r="AC95" s="670"/>
      <c r="AD95" s="670"/>
      <c r="AE95" s="670"/>
      <c r="AF95" s="670"/>
      <c r="AJ95" s="671"/>
      <c r="AK95" s="697"/>
      <c r="AL95" s="697"/>
      <c r="AM95" s="697"/>
      <c r="AN95" s="697"/>
      <c r="AO95" s="697"/>
      <c r="AP95" s="698"/>
      <c r="AQ95" s="672"/>
      <c r="AS95" s="498"/>
      <c r="AT95" s="498"/>
      <c r="AU95" s="498"/>
      <c r="AV95" s="498"/>
      <c r="AW95" s="498"/>
      <c r="AX95" s="498"/>
      <c r="AY95" s="498"/>
      <c r="AZ95" s="498"/>
      <c r="BA95" s="672"/>
    </row>
    <row r="96" spans="18:53" s="619" customFormat="1">
      <c r="R96" s="670"/>
      <c r="S96" s="670"/>
      <c r="T96" s="670"/>
      <c r="U96" s="670"/>
      <c r="V96" s="670"/>
      <c r="W96" s="670"/>
      <c r="X96" s="670"/>
      <c r="Y96" s="670"/>
      <c r="Z96" s="670"/>
      <c r="AA96" s="670"/>
      <c r="AB96" s="670"/>
      <c r="AC96" s="670"/>
      <c r="AD96" s="670"/>
      <c r="AE96" s="670"/>
      <c r="AF96" s="670"/>
      <c r="AJ96" s="671"/>
      <c r="AK96" s="697"/>
      <c r="AL96" s="4018" t="s">
        <v>288</v>
      </c>
      <c r="AM96" s="4018"/>
      <c r="AN96" s="697"/>
      <c r="AO96" s="697"/>
      <c r="AP96" s="698"/>
      <c r="AQ96" s="672"/>
      <c r="AS96" s="498"/>
      <c r="AT96" s="498"/>
      <c r="AU96" s="498"/>
      <c r="AV96" s="498"/>
      <c r="AW96" s="498"/>
      <c r="AX96" s="498"/>
      <c r="AY96" s="498"/>
      <c r="AZ96" s="498"/>
      <c r="BA96" s="672"/>
    </row>
    <row r="97" spans="18:53" s="619" customFormat="1">
      <c r="R97" s="670"/>
      <c r="S97" s="670"/>
      <c r="T97" s="670"/>
      <c r="U97" s="670"/>
      <c r="V97" s="670"/>
      <c r="W97" s="670"/>
      <c r="X97" s="670"/>
      <c r="Y97" s="670"/>
      <c r="Z97" s="670"/>
      <c r="AA97" s="670"/>
      <c r="AB97" s="670"/>
      <c r="AC97" s="670"/>
      <c r="AD97" s="670"/>
      <c r="AE97" s="670"/>
      <c r="AF97" s="670"/>
      <c r="AJ97" s="671"/>
      <c r="AK97" s="697"/>
      <c r="AL97" s="697" t="e">
        <f t="array" ref="AL97:AM101">LINEST(AM66:AM67,AL66:AL67,TRUE,TRUE)</f>
        <v>#VALUE!</v>
      </c>
      <c r="AM97" s="697" t="e">
        <v>#VALUE!</v>
      </c>
      <c r="AN97" s="697"/>
      <c r="AO97" s="697"/>
      <c r="AP97" s="698"/>
      <c r="AQ97" s="672"/>
      <c r="AS97" s="498"/>
      <c r="AT97" s="498"/>
      <c r="AU97" s="498"/>
      <c r="AV97" s="498"/>
      <c r="AW97" s="498"/>
      <c r="AX97" s="498"/>
      <c r="AY97" s="498"/>
      <c r="AZ97" s="498"/>
      <c r="BA97" s="672"/>
    </row>
    <row r="98" spans="18:53" s="619" customFormat="1">
      <c r="R98" s="670"/>
      <c r="S98" s="670"/>
      <c r="T98" s="670"/>
      <c r="U98" s="670"/>
      <c r="V98" s="670"/>
      <c r="W98" s="670"/>
      <c r="X98" s="670"/>
      <c r="Y98" s="670"/>
      <c r="Z98" s="670"/>
      <c r="AA98" s="670"/>
      <c r="AB98" s="670"/>
      <c r="AC98" s="670"/>
      <c r="AD98" s="670"/>
      <c r="AE98" s="670"/>
      <c r="AF98" s="670"/>
      <c r="AJ98" s="671"/>
      <c r="AK98" s="697"/>
      <c r="AL98" s="697" t="e">
        <v>#VALUE!</v>
      </c>
      <c r="AM98" s="697" t="e">
        <v>#VALUE!</v>
      </c>
      <c r="AN98" s="697"/>
      <c r="AO98" s="697"/>
      <c r="AP98" s="698"/>
      <c r="AQ98" s="672"/>
      <c r="AS98" s="498"/>
      <c r="AT98" s="498"/>
      <c r="AU98" s="498"/>
      <c r="AV98" s="498"/>
      <c r="AW98" s="498"/>
      <c r="AX98" s="498"/>
      <c r="AY98" s="498"/>
      <c r="AZ98" s="498"/>
      <c r="BA98" s="672"/>
    </row>
    <row r="99" spans="18:53" s="619" customFormat="1">
      <c r="R99" s="670"/>
      <c r="S99" s="670"/>
      <c r="T99" s="670"/>
      <c r="U99" s="670"/>
      <c r="V99" s="670"/>
      <c r="W99" s="670"/>
      <c r="X99" s="670"/>
      <c r="Y99" s="670"/>
      <c r="Z99" s="670"/>
      <c r="AA99" s="670"/>
      <c r="AB99" s="670"/>
      <c r="AC99" s="670"/>
      <c r="AD99" s="670"/>
      <c r="AE99" s="670"/>
      <c r="AF99" s="670"/>
      <c r="AJ99" s="671"/>
      <c r="AK99" s="697"/>
      <c r="AL99" s="697" t="e">
        <v>#VALUE!</v>
      </c>
      <c r="AM99" s="697" t="e">
        <v>#VALUE!</v>
      </c>
      <c r="AN99" s="697"/>
      <c r="AO99" s="697"/>
      <c r="AP99" s="698"/>
      <c r="AQ99" s="672"/>
      <c r="AS99" s="498"/>
      <c r="AT99" s="498"/>
      <c r="AU99" s="498"/>
      <c r="AV99" s="498"/>
      <c r="AW99" s="498"/>
      <c r="AX99" s="498"/>
      <c r="AY99" s="498"/>
      <c r="AZ99" s="498"/>
      <c r="BA99" s="672"/>
    </row>
    <row r="100" spans="18:53" s="619" customFormat="1">
      <c r="R100" s="670"/>
      <c r="S100" s="670"/>
      <c r="T100" s="670"/>
      <c r="U100" s="670"/>
      <c r="V100" s="670"/>
      <c r="W100" s="670"/>
      <c r="X100" s="670"/>
      <c r="Y100" s="670"/>
      <c r="Z100" s="670"/>
      <c r="AA100" s="670"/>
      <c r="AB100" s="670"/>
      <c r="AC100" s="670"/>
      <c r="AD100" s="670"/>
      <c r="AE100" s="670"/>
      <c r="AF100" s="670"/>
      <c r="AJ100" s="671"/>
      <c r="AK100" s="697"/>
      <c r="AL100" s="697" t="e">
        <v>#VALUE!</v>
      </c>
      <c r="AM100" s="697" t="e">
        <v>#VALUE!</v>
      </c>
      <c r="AN100" s="697"/>
      <c r="AO100" s="697"/>
      <c r="AP100" s="698"/>
      <c r="AQ100" s="672"/>
      <c r="AS100" s="498"/>
      <c r="AT100" s="498"/>
      <c r="AU100" s="498"/>
      <c r="AV100" s="498"/>
      <c r="AW100" s="498"/>
      <c r="AX100" s="498"/>
      <c r="AY100" s="498"/>
      <c r="AZ100" s="498"/>
      <c r="BA100" s="672"/>
    </row>
    <row r="101" spans="18:53" s="619" customFormat="1">
      <c r="R101" s="670"/>
      <c r="S101" s="670"/>
      <c r="T101" s="670"/>
      <c r="U101" s="670"/>
      <c r="V101" s="670"/>
      <c r="W101" s="670"/>
      <c r="X101" s="670"/>
      <c r="Y101" s="670"/>
      <c r="Z101" s="670"/>
      <c r="AA101" s="670"/>
      <c r="AB101" s="670"/>
      <c r="AC101" s="670"/>
      <c r="AD101" s="670"/>
      <c r="AE101" s="670"/>
      <c r="AF101" s="670"/>
      <c r="AJ101" s="671"/>
      <c r="AK101" s="697"/>
      <c r="AL101" s="697" t="e">
        <v>#VALUE!</v>
      </c>
      <c r="AM101" s="697" t="e">
        <v>#VALUE!</v>
      </c>
      <c r="AN101" s="697"/>
      <c r="AO101" s="697"/>
      <c r="AP101" s="698"/>
      <c r="AQ101" s="672"/>
      <c r="AS101" s="698"/>
      <c r="AT101" s="698"/>
      <c r="AU101" s="698"/>
      <c r="AV101" s="698"/>
      <c r="AW101" s="698"/>
      <c r="AX101" s="698"/>
      <c r="AY101" s="698"/>
      <c r="AZ101" s="672"/>
      <c r="BA101" s="672"/>
    </row>
    <row r="102" spans="18:53" s="619" customFormat="1">
      <c r="R102" s="670"/>
      <c r="S102" s="670"/>
      <c r="T102" s="670"/>
      <c r="U102" s="670"/>
      <c r="V102" s="670"/>
      <c r="W102" s="670"/>
      <c r="X102" s="670"/>
      <c r="Y102" s="670"/>
      <c r="Z102" s="670"/>
      <c r="AA102" s="670"/>
      <c r="AB102" s="670"/>
      <c r="AC102" s="670"/>
      <c r="AD102" s="670"/>
      <c r="AE102" s="670"/>
      <c r="AF102" s="670"/>
      <c r="AJ102" s="671"/>
      <c r="AK102" s="697"/>
      <c r="AL102" s="697"/>
      <c r="AM102" s="697"/>
      <c r="AN102" s="697"/>
      <c r="AO102" s="697"/>
      <c r="AP102" s="698"/>
      <c r="AQ102" s="672"/>
      <c r="AS102" s="698"/>
      <c r="AT102" s="698"/>
      <c r="AU102" s="698"/>
      <c r="AV102" s="698"/>
      <c r="AW102" s="698"/>
      <c r="AX102" s="698"/>
      <c r="AY102" s="698"/>
      <c r="AZ102" s="672"/>
      <c r="BA102" s="672"/>
    </row>
    <row r="103" spans="18:53" s="619" customFormat="1">
      <c r="R103" s="670"/>
      <c r="S103" s="670"/>
      <c r="T103" s="670"/>
      <c r="U103" s="670"/>
      <c r="V103" s="670"/>
      <c r="W103" s="670"/>
      <c r="X103" s="670"/>
      <c r="Y103" s="670"/>
      <c r="Z103" s="670"/>
      <c r="AA103" s="670"/>
      <c r="AB103" s="670"/>
      <c r="AC103" s="670"/>
      <c r="AD103" s="670"/>
      <c r="AE103" s="670"/>
      <c r="AF103" s="670"/>
      <c r="AJ103" s="671"/>
      <c r="AK103" s="697"/>
      <c r="AL103" s="697"/>
      <c r="AM103" s="697"/>
      <c r="AN103" s="697"/>
      <c r="AO103" s="697"/>
      <c r="AP103" s="698"/>
      <c r="AQ103" s="672"/>
      <c r="AS103" s="698"/>
      <c r="AT103" s="698"/>
      <c r="AU103" s="698"/>
      <c r="AV103" s="698"/>
      <c r="AW103" s="698"/>
      <c r="AX103" s="698"/>
      <c r="AY103" s="698"/>
      <c r="AZ103" s="672"/>
      <c r="BA103" s="672"/>
    </row>
    <row r="104" spans="18:53" s="619" customFormat="1">
      <c r="R104" s="670"/>
      <c r="S104" s="670"/>
      <c r="T104" s="670"/>
      <c r="U104" s="670"/>
      <c r="V104" s="670"/>
      <c r="W104" s="670"/>
      <c r="X104" s="670"/>
      <c r="Y104" s="670"/>
      <c r="Z104" s="670"/>
      <c r="AA104" s="670"/>
      <c r="AB104" s="670"/>
      <c r="AC104" s="670"/>
      <c r="AD104" s="670"/>
      <c r="AE104" s="670"/>
      <c r="AF104" s="670"/>
      <c r="AJ104" s="671"/>
      <c r="AK104" s="699"/>
      <c r="AL104" s="699"/>
      <c r="AM104" s="699"/>
      <c r="AN104" s="699"/>
      <c r="AO104" s="699"/>
      <c r="AS104" s="698"/>
      <c r="AT104" s="698"/>
      <c r="AU104" s="698"/>
      <c r="AV104" s="698"/>
      <c r="AW104" s="698"/>
      <c r="AX104" s="698"/>
      <c r="AY104" s="698"/>
      <c r="AZ104" s="672"/>
      <c r="BA104" s="672"/>
    </row>
    <row r="105" spans="18:53">
      <c r="AS105" s="672"/>
      <c r="AT105" s="672"/>
      <c r="AU105" s="672"/>
      <c r="AV105" s="672"/>
      <c r="AW105" s="672"/>
      <c r="AX105" s="672"/>
      <c r="AY105" s="672"/>
      <c r="AZ105" s="672"/>
      <c r="BA105" s="317"/>
    </row>
    <row r="106" spans="18:53">
      <c r="AS106" s="672"/>
      <c r="AT106" s="672"/>
      <c r="AU106" s="672"/>
      <c r="AV106" s="672"/>
      <c r="AW106" s="672"/>
      <c r="AX106" s="672"/>
      <c r="AY106" s="672"/>
      <c r="AZ106" s="672"/>
      <c r="BA106" s="317"/>
    </row>
    <row r="107" spans="18:53">
      <c r="AS107" s="672"/>
      <c r="AT107" s="672"/>
      <c r="AU107" s="672"/>
      <c r="AV107" s="672"/>
      <c r="AW107" s="672"/>
      <c r="AX107" s="672"/>
      <c r="AY107" s="672"/>
      <c r="AZ107" s="672"/>
      <c r="BA107" s="317"/>
    </row>
    <row r="108" spans="18:53">
      <c r="AS108" s="672"/>
      <c r="AT108" s="672"/>
      <c r="AU108" s="672"/>
      <c r="AV108" s="672"/>
      <c r="AW108" s="672"/>
      <c r="AX108" s="672"/>
      <c r="AY108" s="672"/>
      <c r="AZ108" s="672"/>
      <c r="BA108" s="317"/>
    </row>
    <row r="109" spans="18:53">
      <c r="AS109" s="672"/>
      <c r="AT109" s="672"/>
      <c r="AU109" s="672"/>
      <c r="AV109" s="672"/>
      <c r="AW109" s="672"/>
      <c r="AX109" s="672"/>
      <c r="AY109" s="672"/>
      <c r="AZ109" s="672"/>
      <c r="BA109" s="317"/>
    </row>
    <row r="110" spans="18:53">
      <c r="AS110" s="672"/>
      <c r="AT110" s="672"/>
      <c r="AU110" s="672"/>
      <c r="AV110" s="672"/>
      <c r="AW110" s="672"/>
      <c r="AX110" s="672"/>
      <c r="AY110" s="672"/>
      <c r="AZ110" s="672"/>
      <c r="BA110" s="317"/>
    </row>
    <row r="111" spans="18:53">
      <c r="AS111" s="672"/>
      <c r="AT111" s="672"/>
      <c r="AU111" s="672"/>
      <c r="AV111" s="672"/>
      <c r="AW111" s="672"/>
      <c r="AX111" s="672"/>
      <c r="AY111" s="672"/>
      <c r="AZ111" s="672"/>
      <c r="BA111" s="317"/>
    </row>
    <row r="112" spans="18:53">
      <c r="AS112" s="672"/>
      <c r="AT112" s="672"/>
      <c r="AU112" s="672"/>
      <c r="AV112" s="672"/>
      <c r="AW112" s="672"/>
      <c r="AX112" s="672"/>
      <c r="AY112" s="672"/>
      <c r="AZ112" s="672"/>
      <c r="BA112" s="317"/>
    </row>
    <row r="113" spans="45:53">
      <c r="AS113" s="672"/>
      <c r="AT113" s="672"/>
      <c r="AU113" s="672"/>
      <c r="AV113" s="672"/>
      <c r="AW113" s="672"/>
      <c r="AX113" s="672"/>
      <c r="AY113" s="672"/>
      <c r="AZ113" s="672"/>
      <c r="BA113" s="317"/>
    </row>
    <row r="114" spans="45:53">
      <c r="AS114" s="672"/>
      <c r="AT114" s="672"/>
      <c r="AU114" s="672"/>
      <c r="AV114" s="672"/>
      <c r="AW114" s="672"/>
      <c r="AX114" s="672"/>
      <c r="AY114" s="672"/>
      <c r="AZ114" s="672"/>
      <c r="BA114" s="317"/>
    </row>
    <row r="115" spans="45:53">
      <c r="BA115" s="317"/>
    </row>
    <row r="116" spans="45:53">
      <c r="BA116" s="317"/>
    </row>
    <row r="117" spans="45:53">
      <c r="BA117" s="317"/>
    </row>
  </sheetData>
  <sheetProtection algorithmName="SHA-512" hashValue="V2nY5li7bJ71SS/c6NJD8hiqylwjJ7bvw9cLa9rLEjrF3RP7R4D2V16QNwq9nlsFrScWFuqETUIVnev5bRvxuQ==" saltValue="v9KVhIh1/n2you6QPtltOQ==" spinCount="100000" sheet="1" formatCells="0" formatColumns="0" formatRows="0"/>
  <mergeCells count="259">
    <mergeCell ref="AP12:AQ12"/>
    <mergeCell ref="AL13:AM13"/>
    <mergeCell ref="AN13:AO13"/>
    <mergeCell ref="AP13:AQ13"/>
    <mergeCell ref="AO10:AP10"/>
    <mergeCell ref="AL11:AM11"/>
    <mergeCell ref="AN11:AO11"/>
    <mergeCell ref="AP11:AQ11"/>
    <mergeCell ref="AK1:AK5"/>
    <mergeCell ref="AL1:AQ1"/>
    <mergeCell ref="AL2:AQ2"/>
    <mergeCell ref="AL3:AQ3"/>
    <mergeCell ref="AL4:AO4"/>
    <mergeCell ref="AP4:AQ4"/>
    <mergeCell ref="AL5:AQ5"/>
    <mergeCell ref="AL6:AN6"/>
    <mergeCell ref="AL9:AN9"/>
    <mergeCell ref="AL12:AM12"/>
    <mergeCell ref="AN12:AO12"/>
    <mergeCell ref="AO8:AP8"/>
    <mergeCell ref="P26:Q26"/>
    <mergeCell ref="R26:V26"/>
    <mergeCell ref="W26:AA26"/>
    <mergeCell ref="AB26:AF26"/>
    <mergeCell ref="E28:AF28"/>
    <mergeCell ref="R24:AF24"/>
    <mergeCell ref="P25:Q25"/>
    <mergeCell ref="R25:V25"/>
    <mergeCell ref="W25:AA25"/>
    <mergeCell ref="AB25:AF25"/>
    <mergeCell ref="E31:AF31"/>
    <mergeCell ref="AB32:AF32"/>
    <mergeCell ref="R30:V30"/>
    <mergeCell ref="W30:AA30"/>
    <mergeCell ref="AB30:AF30"/>
    <mergeCell ref="AL29:AM29"/>
    <mergeCell ref="AN29:AO29"/>
    <mergeCell ref="AP29:AQ29"/>
    <mergeCell ref="E29:Q29"/>
    <mergeCell ref="R29:V29"/>
    <mergeCell ref="W29:AA29"/>
    <mergeCell ref="AB29:AF29"/>
    <mergeCell ref="AL30:AM30"/>
    <mergeCell ref="AN30:AO30"/>
    <mergeCell ref="AP30:AQ30"/>
    <mergeCell ref="R32:V32"/>
    <mergeCell ref="W32:AA32"/>
    <mergeCell ref="AK31:AQ49"/>
    <mergeCell ref="E35:AF35"/>
    <mergeCell ref="R36:V36"/>
    <mergeCell ref="W36:AA36"/>
    <mergeCell ref="AB36:AF36"/>
    <mergeCell ref="R37:V37"/>
    <mergeCell ref="W37:AA37"/>
    <mergeCell ref="AB37:AF37"/>
    <mergeCell ref="R33:V33"/>
    <mergeCell ref="W33:AA33"/>
    <mergeCell ref="AB33:AF33"/>
    <mergeCell ref="R34:V34"/>
    <mergeCell ref="W34:AA34"/>
    <mergeCell ref="AB34:AF34"/>
    <mergeCell ref="E40:J40"/>
    <mergeCell ref="K40:Q40"/>
    <mergeCell ref="R40:AF40"/>
    <mergeCell ref="E41:J41"/>
    <mergeCell ref="K41:Q41"/>
    <mergeCell ref="R41:V41"/>
    <mergeCell ref="W41:AA41"/>
    <mergeCell ref="AB41:AF41"/>
    <mergeCell ref="E38:J38"/>
    <mergeCell ref="M38:Q38"/>
    <mergeCell ref="R38:V38"/>
    <mergeCell ref="W38:Y38"/>
    <mergeCell ref="Z38:AF38"/>
    <mergeCell ref="E39:AF39"/>
    <mergeCell ref="E42:J42"/>
    <mergeCell ref="K42:Q42"/>
    <mergeCell ref="R42:V42"/>
    <mergeCell ref="W42:AA42"/>
    <mergeCell ref="AB42:AF42"/>
    <mergeCell ref="E43:J43"/>
    <mergeCell ref="K43:Q43"/>
    <mergeCell ref="R43:V43"/>
    <mergeCell ref="W43:AA43"/>
    <mergeCell ref="AB43:AF43"/>
    <mergeCell ref="E44:J44"/>
    <mergeCell ref="K44:Q44"/>
    <mergeCell ref="R44:V44"/>
    <mergeCell ref="W44:AA44"/>
    <mergeCell ref="AB44:AF44"/>
    <mergeCell ref="E45:J45"/>
    <mergeCell ref="K45:Q45"/>
    <mergeCell ref="R45:V45"/>
    <mergeCell ref="W45:AA45"/>
    <mergeCell ref="AB45:AF45"/>
    <mergeCell ref="E46:J46"/>
    <mergeCell ref="K46:Q46"/>
    <mergeCell ref="R46:V46"/>
    <mergeCell ref="W46:AA46"/>
    <mergeCell ref="AB46:AF46"/>
    <mergeCell ref="E47:J47"/>
    <mergeCell ref="K47:Q47"/>
    <mergeCell ref="R47:V47"/>
    <mergeCell ref="W47:AA47"/>
    <mergeCell ref="AB47:AF47"/>
    <mergeCell ref="E48:J48"/>
    <mergeCell ref="K48:Q48"/>
    <mergeCell ref="R48:V48"/>
    <mergeCell ref="W48:AA48"/>
    <mergeCell ref="AB48:AF48"/>
    <mergeCell ref="E49:J49"/>
    <mergeCell ref="K49:Q49"/>
    <mergeCell ref="R49:V49"/>
    <mergeCell ref="W49:AA49"/>
    <mergeCell ref="AB49:AF49"/>
    <mergeCell ref="E52:J52"/>
    <mergeCell ref="K52:Q52"/>
    <mergeCell ref="R52:V52"/>
    <mergeCell ref="W52:AA52"/>
    <mergeCell ref="AB52:AF52"/>
    <mergeCell ref="E50:J50"/>
    <mergeCell ref="K50:Q50"/>
    <mergeCell ref="R50:V50"/>
    <mergeCell ref="W50:AA50"/>
    <mergeCell ref="AB50:AF50"/>
    <mergeCell ref="E51:J51"/>
    <mergeCell ref="K51:Q51"/>
    <mergeCell ref="R51:V51"/>
    <mergeCell ref="W51:AA51"/>
    <mergeCell ref="AB51:AF51"/>
    <mergeCell ref="R54:V54"/>
    <mergeCell ref="W54:AA54"/>
    <mergeCell ref="AB54:AF54"/>
    <mergeCell ref="AN53:AO53"/>
    <mergeCell ref="R55:V55"/>
    <mergeCell ref="W55:AA55"/>
    <mergeCell ref="AB55:AF55"/>
    <mergeCell ref="AN55:AO55"/>
    <mergeCell ref="AL55:AM55"/>
    <mergeCell ref="E53:AF53"/>
    <mergeCell ref="AR58:AZ58"/>
    <mergeCell ref="AK59:AQ59"/>
    <mergeCell ref="AR59:AZ59"/>
    <mergeCell ref="R56:V56"/>
    <mergeCell ref="W56:AA56"/>
    <mergeCell ref="AB56:AF56"/>
    <mergeCell ref="AR57:AZ57"/>
    <mergeCell ref="AK57:AQ58"/>
    <mergeCell ref="AY56:AZ56"/>
    <mergeCell ref="AW56:AX56"/>
    <mergeCell ref="AT56:AV56"/>
    <mergeCell ref="AP56:AQ56"/>
    <mergeCell ref="AL56:AM56"/>
    <mergeCell ref="AN56:AO56"/>
    <mergeCell ref="AL62:AM63"/>
    <mergeCell ref="AO62:AP63"/>
    <mergeCell ref="AO64:AO65"/>
    <mergeCell ref="AP64:AP65"/>
    <mergeCell ref="AO67:AO68"/>
    <mergeCell ref="AP67:AP68"/>
    <mergeCell ref="X59:Y59"/>
    <mergeCell ref="AA59:AB59"/>
    <mergeCell ref="AL96:AM96"/>
    <mergeCell ref="AN82:AO82"/>
    <mergeCell ref="AN83:AO83"/>
    <mergeCell ref="AN84:AO84"/>
    <mergeCell ref="AN85:AO85"/>
    <mergeCell ref="AN86:AO86"/>
    <mergeCell ref="AL89:AM89"/>
    <mergeCell ref="AK70:AM71"/>
    <mergeCell ref="AK72:AK74"/>
    <mergeCell ref="AO74:AP78"/>
    <mergeCell ref="AK76:AK78"/>
    <mergeCell ref="AL80:AL81"/>
    <mergeCell ref="AM80:AM81"/>
    <mergeCell ref="AN80:AO81"/>
    <mergeCell ref="AK50:AQ50"/>
    <mergeCell ref="AP54:AQ54"/>
    <mergeCell ref="AN54:AO54"/>
    <mergeCell ref="AL54:AM54"/>
    <mergeCell ref="AK51:AQ51"/>
    <mergeCell ref="AP55:AQ55"/>
    <mergeCell ref="AL52:AM52"/>
    <mergeCell ref="AN52:AO52"/>
    <mergeCell ref="AP52:AQ52"/>
    <mergeCell ref="AR27:AS27"/>
    <mergeCell ref="AR28:AS28"/>
    <mergeCell ref="AR29:AS29"/>
    <mergeCell ref="AR26:AS26"/>
    <mergeCell ref="AO14:AO15"/>
    <mergeCell ref="AN14:AN15"/>
    <mergeCell ref="AM14:AM15"/>
    <mergeCell ref="AL14:AL15"/>
    <mergeCell ref="AK14:AK15"/>
    <mergeCell ref="AP28:AQ28"/>
    <mergeCell ref="AL28:AM28"/>
    <mergeCell ref="AN28:AO28"/>
    <mergeCell ref="AP14:AP15"/>
    <mergeCell ref="AQ14:AQ15"/>
    <mergeCell ref="AR10:AV10"/>
    <mergeCell ref="AR18:AZ18"/>
    <mergeCell ref="AR25:AZ25"/>
    <mergeCell ref="AR19:AS19"/>
    <mergeCell ref="AR20:AS20"/>
    <mergeCell ref="AR21:AS21"/>
    <mergeCell ref="AR22:AS22"/>
    <mergeCell ref="AR23:AS23"/>
    <mergeCell ref="AR24:AS24"/>
    <mergeCell ref="AR11:AS11"/>
    <mergeCell ref="AR12:AS12"/>
    <mergeCell ref="AR13:AS13"/>
    <mergeCell ref="AR14:AS14"/>
    <mergeCell ref="AR15:AS15"/>
    <mergeCell ref="AR16:AS16"/>
    <mergeCell ref="AR17:AS17"/>
    <mergeCell ref="AY54:AZ54"/>
    <mergeCell ref="AW52:AX52"/>
    <mergeCell ref="AW54:AX54"/>
    <mergeCell ref="AW55:AX55"/>
    <mergeCell ref="AX47:AY47"/>
    <mergeCell ref="AX46:AY46"/>
    <mergeCell ref="AX45:AY45"/>
    <mergeCell ref="AU11:AV11"/>
    <mergeCell ref="AW35:AZ36"/>
    <mergeCell ref="AX44:AY44"/>
    <mergeCell ref="AX42:AY43"/>
    <mergeCell ref="AX38:AY38"/>
    <mergeCell ref="AX37:AY37"/>
    <mergeCell ref="AX33:AY33"/>
    <mergeCell ref="AX32:AY32"/>
    <mergeCell ref="AW31:AZ31"/>
    <mergeCell ref="AT52:AV52"/>
    <mergeCell ref="AT54:AV54"/>
    <mergeCell ref="AY52:AZ52"/>
    <mergeCell ref="AT55:AV55"/>
    <mergeCell ref="AR52:AS52"/>
    <mergeCell ref="AR54:AS54"/>
    <mergeCell ref="AR55:AS55"/>
    <mergeCell ref="AR56:AS56"/>
    <mergeCell ref="AR50:AZ50"/>
    <mergeCell ref="AR51:AZ51"/>
    <mergeCell ref="AT1:AZ1"/>
    <mergeCell ref="AT2:AZ2"/>
    <mergeCell ref="AT3:AZ3"/>
    <mergeCell ref="AT4:AW4"/>
    <mergeCell ref="AT5:AZ5"/>
    <mergeCell ref="AX9:AY9"/>
    <mergeCell ref="AX8:AY8"/>
    <mergeCell ref="AX7:AY7"/>
    <mergeCell ref="AX6:AY6"/>
    <mergeCell ref="AS6:AW6"/>
    <mergeCell ref="AS7:AW7"/>
    <mergeCell ref="AS8:AW8"/>
    <mergeCell ref="AS9:AW9"/>
    <mergeCell ref="AX4:AZ4"/>
    <mergeCell ref="AR1:AS5"/>
    <mergeCell ref="AW42:AW43"/>
    <mergeCell ref="AZ42:AZ43"/>
    <mergeCell ref="AY55:AZ55"/>
  </mergeCell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www.umv.gov.co111311&amp;C&amp;6PRO-FM-008
Página 1 de 2</oddFooter>
  </headerFooter>
  <colBreaks count="2" manualBreakCount="2">
    <brk id="36" max="58" man="1"/>
    <brk id="43" max="58" man="1"/>
  </colBreaks>
  <ignoredErrors>
    <ignoredError sqref="AP16:AP27 AN16:AN27 AN29" formula="1"/>
    <ignoredError sqref="AZ46:AZ47 AX46" evalError="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AP55:AQ55</xm:sqref>
        </x14:dataValidation>
        <x14:dataValidation type="list" allowBlank="1" showInputMessage="1" showErrorMessage="1">
          <x14:formula1>
            <xm:f>firmas!$A$2:$A$31</xm:f>
          </x14:formula1>
          <xm:sqref>AL55:AM55</xm:sqref>
        </x14:dataValidation>
        <x14:dataValidation type="list" allowBlank="1" showInputMessage="1" showErrorMessage="1">
          <x14:formula1>
            <xm:f>firmas!$A$33:$A$35</xm:f>
          </x14:formula1>
          <xm:sqref>AN55:AO55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V113"/>
  <sheetViews>
    <sheetView showGridLines="0" view="pageBreakPreview" zoomScaleSheetLayoutView="100" workbookViewId="0">
      <selection activeCell="F28" sqref="C28:H28"/>
    </sheetView>
  </sheetViews>
  <sheetFormatPr baseColWidth="10" defaultRowHeight="12.75"/>
  <cols>
    <col min="1" max="1" width="12.28515625" style="241" customWidth="1"/>
    <col min="2" max="5" width="12.28515625" style="248" customWidth="1"/>
    <col min="6" max="8" width="11.7109375" style="248" customWidth="1"/>
    <col min="9" max="9" width="16.28515625" style="248" customWidth="1"/>
    <col min="10" max="214" width="11.42578125" style="241"/>
    <col min="215" max="226" width="2.7109375" style="241" customWidth="1"/>
    <col min="227" max="228" width="6.140625" style="241" customWidth="1"/>
    <col min="229" max="237" width="2.7109375" style="241" customWidth="1"/>
    <col min="238" max="238" width="14.7109375" style="241" customWidth="1"/>
    <col min="239" max="239" width="6.28515625" style="241" customWidth="1"/>
    <col min="240" max="250" width="2.7109375" style="241" customWidth="1"/>
    <col min="251" max="251" width="25.42578125" style="241" customWidth="1"/>
    <col min="252" max="252" width="17.85546875" style="241" customWidth="1"/>
    <col min="253" max="253" width="15.85546875" style="241" customWidth="1"/>
    <col min="254" max="254" width="14.7109375" style="241" customWidth="1"/>
    <col min="255" max="255" width="15.85546875" style="241" customWidth="1"/>
    <col min="256" max="256" width="15" style="241" customWidth="1"/>
    <col min="257" max="257" width="18.140625" style="241" customWidth="1"/>
    <col min="258" max="258" width="22.42578125" style="241" customWidth="1"/>
    <col min="259" max="259" width="23.7109375" style="241" customWidth="1"/>
    <col min="260" max="260" width="14" style="241" customWidth="1"/>
    <col min="261" max="261" width="15" style="241" customWidth="1"/>
    <col min="262" max="262" width="21.28515625" style="241" customWidth="1"/>
    <col min="263" max="263" width="15.85546875" style="241" customWidth="1"/>
    <col min="264" max="264" width="18.28515625" style="241" customWidth="1"/>
    <col min="265" max="265" width="16.28515625" style="241" customWidth="1"/>
    <col min="266" max="470" width="11.42578125" style="241"/>
    <col min="471" max="482" width="2.7109375" style="241" customWidth="1"/>
    <col min="483" max="484" width="6.140625" style="241" customWidth="1"/>
    <col min="485" max="493" width="2.7109375" style="241" customWidth="1"/>
    <col min="494" max="494" width="14.7109375" style="241" customWidth="1"/>
    <col min="495" max="495" width="6.28515625" style="241" customWidth="1"/>
    <col min="496" max="506" width="2.7109375" style="241" customWidth="1"/>
    <col min="507" max="507" width="25.42578125" style="241" customWidth="1"/>
    <col min="508" max="508" width="17.85546875" style="241" customWidth="1"/>
    <col min="509" max="509" width="15.85546875" style="241" customWidth="1"/>
    <col min="510" max="510" width="14.7109375" style="241" customWidth="1"/>
    <col min="511" max="511" width="15.85546875" style="241" customWidth="1"/>
    <col min="512" max="512" width="15" style="241" customWidth="1"/>
    <col min="513" max="513" width="18.140625" style="241" customWidth="1"/>
    <col min="514" max="514" width="22.42578125" style="241" customWidth="1"/>
    <col min="515" max="515" width="23.7109375" style="241" customWidth="1"/>
    <col min="516" max="516" width="14" style="241" customWidth="1"/>
    <col min="517" max="517" width="15" style="241" customWidth="1"/>
    <col min="518" max="518" width="21.28515625" style="241" customWidth="1"/>
    <col min="519" max="519" width="15.85546875" style="241" customWidth="1"/>
    <col min="520" max="520" width="18.28515625" style="241" customWidth="1"/>
    <col min="521" max="521" width="16.28515625" style="241" customWidth="1"/>
    <col min="522" max="726" width="11.42578125" style="241"/>
    <col min="727" max="738" width="2.7109375" style="241" customWidth="1"/>
    <col min="739" max="740" width="6.140625" style="241" customWidth="1"/>
    <col min="741" max="749" width="2.7109375" style="241" customWidth="1"/>
    <col min="750" max="750" width="14.7109375" style="241" customWidth="1"/>
    <col min="751" max="751" width="6.28515625" style="241" customWidth="1"/>
    <col min="752" max="762" width="2.7109375" style="241" customWidth="1"/>
    <col min="763" max="763" width="25.42578125" style="241" customWidth="1"/>
    <col min="764" max="764" width="17.85546875" style="241" customWidth="1"/>
    <col min="765" max="765" width="15.85546875" style="241" customWidth="1"/>
    <col min="766" max="766" width="14.7109375" style="241" customWidth="1"/>
    <col min="767" max="767" width="15.85546875" style="241" customWidth="1"/>
    <col min="768" max="768" width="15" style="241" customWidth="1"/>
    <col min="769" max="769" width="18.140625" style="241" customWidth="1"/>
    <col min="770" max="770" width="22.42578125" style="241" customWidth="1"/>
    <col min="771" max="771" width="23.7109375" style="241" customWidth="1"/>
    <col min="772" max="772" width="14" style="241" customWidth="1"/>
    <col min="773" max="773" width="15" style="241" customWidth="1"/>
    <col min="774" max="774" width="21.28515625" style="241" customWidth="1"/>
    <col min="775" max="775" width="15.85546875" style="241" customWidth="1"/>
    <col min="776" max="776" width="18.28515625" style="241" customWidth="1"/>
    <col min="777" max="777" width="16.28515625" style="241" customWidth="1"/>
    <col min="778" max="982" width="11.42578125" style="241"/>
    <col min="983" max="994" width="2.7109375" style="241" customWidth="1"/>
    <col min="995" max="996" width="6.140625" style="241" customWidth="1"/>
    <col min="997" max="1005" width="2.7109375" style="241" customWidth="1"/>
    <col min="1006" max="1006" width="14.7109375" style="241" customWidth="1"/>
    <col min="1007" max="1007" width="6.28515625" style="241" customWidth="1"/>
    <col min="1008" max="1018" width="2.7109375" style="241" customWidth="1"/>
    <col min="1019" max="1019" width="25.42578125" style="241" customWidth="1"/>
    <col min="1020" max="1020" width="17.85546875" style="241" customWidth="1"/>
    <col min="1021" max="1021" width="15.85546875" style="241" customWidth="1"/>
    <col min="1022" max="1022" width="14.7109375" style="241" customWidth="1"/>
    <col min="1023" max="1023" width="15.85546875" style="241" customWidth="1"/>
    <col min="1024" max="1024" width="15" style="241" customWidth="1"/>
    <col min="1025" max="1025" width="18.140625" style="241" customWidth="1"/>
    <col min="1026" max="1026" width="22.42578125" style="241" customWidth="1"/>
    <col min="1027" max="1027" width="23.7109375" style="241" customWidth="1"/>
    <col min="1028" max="1028" width="14" style="241" customWidth="1"/>
    <col min="1029" max="1029" width="15" style="241" customWidth="1"/>
    <col min="1030" max="1030" width="21.28515625" style="241" customWidth="1"/>
    <col min="1031" max="1031" width="15.85546875" style="241" customWidth="1"/>
    <col min="1032" max="1032" width="18.28515625" style="241" customWidth="1"/>
    <col min="1033" max="1033" width="16.28515625" style="241" customWidth="1"/>
    <col min="1034" max="1238" width="11.42578125" style="241"/>
    <col min="1239" max="1250" width="2.7109375" style="241" customWidth="1"/>
    <col min="1251" max="1252" width="6.140625" style="241" customWidth="1"/>
    <col min="1253" max="1261" width="2.7109375" style="241" customWidth="1"/>
    <col min="1262" max="1262" width="14.7109375" style="241" customWidth="1"/>
    <col min="1263" max="1263" width="6.28515625" style="241" customWidth="1"/>
    <col min="1264" max="1274" width="2.7109375" style="241" customWidth="1"/>
    <col min="1275" max="1275" width="25.42578125" style="241" customWidth="1"/>
    <col min="1276" max="1276" width="17.85546875" style="241" customWidth="1"/>
    <col min="1277" max="1277" width="15.85546875" style="241" customWidth="1"/>
    <col min="1278" max="1278" width="14.7109375" style="241" customWidth="1"/>
    <col min="1279" max="1279" width="15.85546875" style="241" customWidth="1"/>
    <col min="1280" max="1280" width="15" style="241" customWidth="1"/>
    <col min="1281" max="1281" width="18.140625" style="241" customWidth="1"/>
    <col min="1282" max="1282" width="22.42578125" style="241" customWidth="1"/>
    <col min="1283" max="1283" width="23.7109375" style="241" customWidth="1"/>
    <col min="1284" max="1284" width="14" style="241" customWidth="1"/>
    <col min="1285" max="1285" width="15" style="241" customWidth="1"/>
    <col min="1286" max="1286" width="21.28515625" style="241" customWidth="1"/>
    <col min="1287" max="1287" width="15.85546875" style="241" customWidth="1"/>
    <col min="1288" max="1288" width="18.28515625" style="241" customWidth="1"/>
    <col min="1289" max="1289" width="16.28515625" style="241" customWidth="1"/>
    <col min="1290" max="1494" width="11.42578125" style="241"/>
    <col min="1495" max="1506" width="2.7109375" style="241" customWidth="1"/>
    <col min="1507" max="1508" width="6.140625" style="241" customWidth="1"/>
    <col min="1509" max="1517" width="2.7109375" style="241" customWidth="1"/>
    <col min="1518" max="1518" width="14.7109375" style="241" customWidth="1"/>
    <col min="1519" max="1519" width="6.28515625" style="241" customWidth="1"/>
    <col min="1520" max="1530" width="2.7109375" style="241" customWidth="1"/>
    <col min="1531" max="1531" width="25.42578125" style="241" customWidth="1"/>
    <col min="1532" max="1532" width="17.85546875" style="241" customWidth="1"/>
    <col min="1533" max="1533" width="15.85546875" style="241" customWidth="1"/>
    <col min="1534" max="1534" width="14.7109375" style="241" customWidth="1"/>
    <col min="1535" max="1535" width="15.85546875" style="241" customWidth="1"/>
    <col min="1536" max="1536" width="15" style="241" customWidth="1"/>
    <col min="1537" max="1537" width="18.140625" style="241" customWidth="1"/>
    <col min="1538" max="1538" width="22.42578125" style="241" customWidth="1"/>
    <col min="1539" max="1539" width="23.7109375" style="241" customWidth="1"/>
    <col min="1540" max="1540" width="14" style="241" customWidth="1"/>
    <col min="1541" max="1541" width="15" style="241" customWidth="1"/>
    <col min="1542" max="1542" width="21.28515625" style="241" customWidth="1"/>
    <col min="1543" max="1543" width="15.85546875" style="241" customWidth="1"/>
    <col min="1544" max="1544" width="18.28515625" style="241" customWidth="1"/>
    <col min="1545" max="1545" width="16.28515625" style="241" customWidth="1"/>
    <col min="1546" max="1750" width="11.42578125" style="241"/>
    <col min="1751" max="1762" width="2.7109375" style="241" customWidth="1"/>
    <col min="1763" max="1764" width="6.140625" style="241" customWidth="1"/>
    <col min="1765" max="1773" width="2.7109375" style="241" customWidth="1"/>
    <col min="1774" max="1774" width="14.7109375" style="241" customWidth="1"/>
    <col min="1775" max="1775" width="6.28515625" style="241" customWidth="1"/>
    <col min="1776" max="1786" width="2.7109375" style="241" customWidth="1"/>
    <col min="1787" max="1787" width="25.42578125" style="241" customWidth="1"/>
    <col min="1788" max="1788" width="17.85546875" style="241" customWidth="1"/>
    <col min="1789" max="1789" width="15.85546875" style="241" customWidth="1"/>
    <col min="1790" max="1790" width="14.7109375" style="241" customWidth="1"/>
    <col min="1791" max="1791" width="15.85546875" style="241" customWidth="1"/>
    <col min="1792" max="1792" width="15" style="241" customWidth="1"/>
    <col min="1793" max="1793" width="18.140625" style="241" customWidth="1"/>
    <col min="1794" max="1794" width="22.42578125" style="241" customWidth="1"/>
    <col min="1795" max="1795" width="23.7109375" style="241" customWidth="1"/>
    <col min="1796" max="1796" width="14" style="241" customWidth="1"/>
    <col min="1797" max="1797" width="15" style="241" customWidth="1"/>
    <col min="1798" max="1798" width="21.28515625" style="241" customWidth="1"/>
    <col min="1799" max="1799" width="15.85546875" style="241" customWidth="1"/>
    <col min="1800" max="1800" width="18.28515625" style="241" customWidth="1"/>
    <col min="1801" max="1801" width="16.28515625" style="241" customWidth="1"/>
    <col min="1802" max="2006" width="11.42578125" style="241"/>
    <col min="2007" max="2018" width="2.7109375" style="241" customWidth="1"/>
    <col min="2019" max="2020" width="6.140625" style="241" customWidth="1"/>
    <col min="2021" max="2029" width="2.7109375" style="241" customWidth="1"/>
    <col min="2030" max="2030" width="14.7109375" style="241" customWidth="1"/>
    <col min="2031" max="2031" width="6.28515625" style="241" customWidth="1"/>
    <col min="2032" max="2042" width="2.7109375" style="241" customWidth="1"/>
    <col min="2043" max="2043" width="25.42578125" style="241" customWidth="1"/>
    <col min="2044" max="2044" width="17.85546875" style="241" customWidth="1"/>
    <col min="2045" max="2045" width="15.85546875" style="241" customWidth="1"/>
    <col min="2046" max="2046" width="14.7109375" style="241" customWidth="1"/>
    <col min="2047" max="2047" width="15.85546875" style="241" customWidth="1"/>
    <col min="2048" max="2048" width="15" style="241" customWidth="1"/>
    <col min="2049" max="2049" width="18.140625" style="241" customWidth="1"/>
    <col min="2050" max="2050" width="22.42578125" style="241" customWidth="1"/>
    <col min="2051" max="2051" width="23.7109375" style="241" customWidth="1"/>
    <col min="2052" max="2052" width="14" style="241" customWidth="1"/>
    <col min="2053" max="2053" width="15" style="241" customWidth="1"/>
    <col min="2054" max="2054" width="21.28515625" style="241" customWidth="1"/>
    <col min="2055" max="2055" width="15.85546875" style="241" customWidth="1"/>
    <col min="2056" max="2056" width="18.28515625" style="241" customWidth="1"/>
    <col min="2057" max="2057" width="16.28515625" style="241" customWidth="1"/>
    <col min="2058" max="2262" width="11.42578125" style="241"/>
    <col min="2263" max="2274" width="2.7109375" style="241" customWidth="1"/>
    <col min="2275" max="2276" width="6.140625" style="241" customWidth="1"/>
    <col min="2277" max="2285" width="2.7109375" style="241" customWidth="1"/>
    <col min="2286" max="2286" width="14.7109375" style="241" customWidth="1"/>
    <col min="2287" max="2287" width="6.28515625" style="241" customWidth="1"/>
    <col min="2288" max="2298" width="2.7109375" style="241" customWidth="1"/>
    <col min="2299" max="2299" width="25.42578125" style="241" customWidth="1"/>
    <col min="2300" max="2300" width="17.85546875" style="241" customWidth="1"/>
    <col min="2301" max="2301" width="15.85546875" style="241" customWidth="1"/>
    <col min="2302" max="2302" width="14.7109375" style="241" customWidth="1"/>
    <col min="2303" max="2303" width="15.85546875" style="241" customWidth="1"/>
    <col min="2304" max="2304" width="15" style="241" customWidth="1"/>
    <col min="2305" max="2305" width="18.140625" style="241" customWidth="1"/>
    <col min="2306" max="2306" width="22.42578125" style="241" customWidth="1"/>
    <col min="2307" max="2307" width="23.7109375" style="241" customWidth="1"/>
    <col min="2308" max="2308" width="14" style="241" customWidth="1"/>
    <col min="2309" max="2309" width="15" style="241" customWidth="1"/>
    <col min="2310" max="2310" width="21.28515625" style="241" customWidth="1"/>
    <col min="2311" max="2311" width="15.85546875" style="241" customWidth="1"/>
    <col min="2312" max="2312" width="18.28515625" style="241" customWidth="1"/>
    <col min="2313" max="2313" width="16.28515625" style="241" customWidth="1"/>
    <col min="2314" max="2518" width="11.42578125" style="241"/>
    <col min="2519" max="2530" width="2.7109375" style="241" customWidth="1"/>
    <col min="2531" max="2532" width="6.140625" style="241" customWidth="1"/>
    <col min="2533" max="2541" width="2.7109375" style="241" customWidth="1"/>
    <col min="2542" max="2542" width="14.7109375" style="241" customWidth="1"/>
    <col min="2543" max="2543" width="6.28515625" style="241" customWidth="1"/>
    <col min="2544" max="2554" width="2.7109375" style="241" customWidth="1"/>
    <col min="2555" max="2555" width="25.42578125" style="241" customWidth="1"/>
    <col min="2556" max="2556" width="17.85546875" style="241" customWidth="1"/>
    <col min="2557" max="2557" width="15.85546875" style="241" customWidth="1"/>
    <col min="2558" max="2558" width="14.7109375" style="241" customWidth="1"/>
    <col min="2559" max="2559" width="15.85546875" style="241" customWidth="1"/>
    <col min="2560" max="2560" width="15" style="241" customWidth="1"/>
    <col min="2561" max="2561" width="18.140625" style="241" customWidth="1"/>
    <col min="2562" max="2562" width="22.42578125" style="241" customWidth="1"/>
    <col min="2563" max="2563" width="23.7109375" style="241" customWidth="1"/>
    <col min="2564" max="2564" width="14" style="241" customWidth="1"/>
    <col min="2565" max="2565" width="15" style="241" customWidth="1"/>
    <col min="2566" max="2566" width="21.28515625" style="241" customWidth="1"/>
    <col min="2567" max="2567" width="15.85546875" style="241" customWidth="1"/>
    <col min="2568" max="2568" width="18.28515625" style="241" customWidth="1"/>
    <col min="2569" max="2569" width="16.28515625" style="241" customWidth="1"/>
    <col min="2570" max="2774" width="11.42578125" style="241"/>
    <col min="2775" max="2786" width="2.7109375" style="241" customWidth="1"/>
    <col min="2787" max="2788" width="6.140625" style="241" customWidth="1"/>
    <col min="2789" max="2797" width="2.7109375" style="241" customWidth="1"/>
    <col min="2798" max="2798" width="14.7109375" style="241" customWidth="1"/>
    <col min="2799" max="2799" width="6.28515625" style="241" customWidth="1"/>
    <col min="2800" max="2810" width="2.7109375" style="241" customWidth="1"/>
    <col min="2811" max="2811" width="25.42578125" style="241" customWidth="1"/>
    <col min="2812" max="2812" width="17.85546875" style="241" customWidth="1"/>
    <col min="2813" max="2813" width="15.85546875" style="241" customWidth="1"/>
    <col min="2814" max="2814" width="14.7109375" style="241" customWidth="1"/>
    <col min="2815" max="2815" width="15.85546875" style="241" customWidth="1"/>
    <col min="2816" max="2816" width="15" style="241" customWidth="1"/>
    <col min="2817" max="2817" width="18.140625" style="241" customWidth="1"/>
    <col min="2818" max="2818" width="22.42578125" style="241" customWidth="1"/>
    <col min="2819" max="2819" width="23.7109375" style="241" customWidth="1"/>
    <col min="2820" max="2820" width="14" style="241" customWidth="1"/>
    <col min="2821" max="2821" width="15" style="241" customWidth="1"/>
    <col min="2822" max="2822" width="21.28515625" style="241" customWidth="1"/>
    <col min="2823" max="2823" width="15.85546875" style="241" customWidth="1"/>
    <col min="2824" max="2824" width="18.28515625" style="241" customWidth="1"/>
    <col min="2825" max="2825" width="16.28515625" style="241" customWidth="1"/>
    <col min="2826" max="3030" width="11.42578125" style="241"/>
    <col min="3031" max="3042" width="2.7109375" style="241" customWidth="1"/>
    <col min="3043" max="3044" width="6.140625" style="241" customWidth="1"/>
    <col min="3045" max="3053" width="2.7109375" style="241" customWidth="1"/>
    <col min="3054" max="3054" width="14.7109375" style="241" customWidth="1"/>
    <col min="3055" max="3055" width="6.28515625" style="241" customWidth="1"/>
    <col min="3056" max="3066" width="2.7109375" style="241" customWidth="1"/>
    <col min="3067" max="3067" width="25.42578125" style="241" customWidth="1"/>
    <col min="3068" max="3068" width="17.85546875" style="241" customWidth="1"/>
    <col min="3069" max="3069" width="15.85546875" style="241" customWidth="1"/>
    <col min="3070" max="3070" width="14.7109375" style="241" customWidth="1"/>
    <col min="3071" max="3071" width="15.85546875" style="241" customWidth="1"/>
    <col min="3072" max="3072" width="15" style="241" customWidth="1"/>
    <col min="3073" max="3073" width="18.140625" style="241" customWidth="1"/>
    <col min="3074" max="3074" width="22.42578125" style="241" customWidth="1"/>
    <col min="3075" max="3075" width="23.7109375" style="241" customWidth="1"/>
    <col min="3076" max="3076" width="14" style="241" customWidth="1"/>
    <col min="3077" max="3077" width="15" style="241" customWidth="1"/>
    <col min="3078" max="3078" width="21.28515625" style="241" customWidth="1"/>
    <col min="3079" max="3079" width="15.85546875" style="241" customWidth="1"/>
    <col min="3080" max="3080" width="18.28515625" style="241" customWidth="1"/>
    <col min="3081" max="3081" width="16.28515625" style="241" customWidth="1"/>
    <col min="3082" max="3286" width="11.42578125" style="241"/>
    <col min="3287" max="3298" width="2.7109375" style="241" customWidth="1"/>
    <col min="3299" max="3300" width="6.140625" style="241" customWidth="1"/>
    <col min="3301" max="3309" width="2.7109375" style="241" customWidth="1"/>
    <col min="3310" max="3310" width="14.7109375" style="241" customWidth="1"/>
    <col min="3311" max="3311" width="6.28515625" style="241" customWidth="1"/>
    <col min="3312" max="3322" width="2.7109375" style="241" customWidth="1"/>
    <col min="3323" max="3323" width="25.42578125" style="241" customWidth="1"/>
    <col min="3324" max="3324" width="17.85546875" style="241" customWidth="1"/>
    <col min="3325" max="3325" width="15.85546875" style="241" customWidth="1"/>
    <col min="3326" max="3326" width="14.7109375" style="241" customWidth="1"/>
    <col min="3327" max="3327" width="15.85546875" style="241" customWidth="1"/>
    <col min="3328" max="3328" width="15" style="241" customWidth="1"/>
    <col min="3329" max="3329" width="18.140625" style="241" customWidth="1"/>
    <col min="3330" max="3330" width="22.42578125" style="241" customWidth="1"/>
    <col min="3331" max="3331" width="23.7109375" style="241" customWidth="1"/>
    <col min="3332" max="3332" width="14" style="241" customWidth="1"/>
    <col min="3333" max="3333" width="15" style="241" customWidth="1"/>
    <col min="3334" max="3334" width="21.28515625" style="241" customWidth="1"/>
    <col min="3335" max="3335" width="15.85546875" style="241" customWidth="1"/>
    <col min="3336" max="3336" width="18.28515625" style="241" customWidth="1"/>
    <col min="3337" max="3337" width="16.28515625" style="241" customWidth="1"/>
    <col min="3338" max="3542" width="11.42578125" style="241"/>
    <col min="3543" max="3554" width="2.7109375" style="241" customWidth="1"/>
    <col min="3555" max="3556" width="6.140625" style="241" customWidth="1"/>
    <col min="3557" max="3565" width="2.7109375" style="241" customWidth="1"/>
    <col min="3566" max="3566" width="14.7109375" style="241" customWidth="1"/>
    <col min="3567" max="3567" width="6.28515625" style="241" customWidth="1"/>
    <col min="3568" max="3578" width="2.7109375" style="241" customWidth="1"/>
    <col min="3579" max="3579" width="25.42578125" style="241" customWidth="1"/>
    <col min="3580" max="3580" width="17.85546875" style="241" customWidth="1"/>
    <col min="3581" max="3581" width="15.85546875" style="241" customWidth="1"/>
    <col min="3582" max="3582" width="14.7109375" style="241" customWidth="1"/>
    <col min="3583" max="3583" width="15.85546875" style="241" customWidth="1"/>
    <col min="3584" max="3584" width="15" style="241" customWidth="1"/>
    <col min="3585" max="3585" width="18.140625" style="241" customWidth="1"/>
    <col min="3586" max="3586" width="22.42578125" style="241" customWidth="1"/>
    <col min="3587" max="3587" width="23.7109375" style="241" customWidth="1"/>
    <col min="3588" max="3588" width="14" style="241" customWidth="1"/>
    <col min="3589" max="3589" width="15" style="241" customWidth="1"/>
    <col min="3590" max="3590" width="21.28515625" style="241" customWidth="1"/>
    <col min="3591" max="3591" width="15.85546875" style="241" customWidth="1"/>
    <col min="3592" max="3592" width="18.28515625" style="241" customWidth="1"/>
    <col min="3593" max="3593" width="16.28515625" style="241" customWidth="1"/>
    <col min="3594" max="3798" width="11.42578125" style="241"/>
    <col min="3799" max="3810" width="2.7109375" style="241" customWidth="1"/>
    <col min="3811" max="3812" width="6.140625" style="241" customWidth="1"/>
    <col min="3813" max="3821" width="2.7109375" style="241" customWidth="1"/>
    <col min="3822" max="3822" width="14.7109375" style="241" customWidth="1"/>
    <col min="3823" max="3823" width="6.28515625" style="241" customWidth="1"/>
    <col min="3824" max="3834" width="2.7109375" style="241" customWidth="1"/>
    <col min="3835" max="3835" width="25.42578125" style="241" customWidth="1"/>
    <col min="3836" max="3836" width="17.85546875" style="241" customWidth="1"/>
    <col min="3837" max="3837" width="15.85546875" style="241" customWidth="1"/>
    <col min="3838" max="3838" width="14.7109375" style="241" customWidth="1"/>
    <col min="3839" max="3839" width="15.85546875" style="241" customWidth="1"/>
    <col min="3840" max="3840" width="15" style="241" customWidth="1"/>
    <col min="3841" max="3841" width="18.140625" style="241" customWidth="1"/>
    <col min="3842" max="3842" width="22.42578125" style="241" customWidth="1"/>
    <col min="3843" max="3843" width="23.7109375" style="241" customWidth="1"/>
    <col min="3844" max="3844" width="14" style="241" customWidth="1"/>
    <col min="3845" max="3845" width="15" style="241" customWidth="1"/>
    <col min="3846" max="3846" width="21.28515625" style="241" customWidth="1"/>
    <col min="3847" max="3847" width="15.85546875" style="241" customWidth="1"/>
    <col min="3848" max="3848" width="18.28515625" style="241" customWidth="1"/>
    <col min="3849" max="3849" width="16.28515625" style="241" customWidth="1"/>
    <col min="3850" max="4054" width="11.42578125" style="241"/>
    <col min="4055" max="4066" width="2.7109375" style="241" customWidth="1"/>
    <col min="4067" max="4068" width="6.140625" style="241" customWidth="1"/>
    <col min="4069" max="4077" width="2.7109375" style="241" customWidth="1"/>
    <col min="4078" max="4078" width="14.7109375" style="241" customWidth="1"/>
    <col min="4079" max="4079" width="6.28515625" style="241" customWidth="1"/>
    <col min="4080" max="4090" width="2.7109375" style="241" customWidth="1"/>
    <col min="4091" max="4091" width="25.42578125" style="241" customWidth="1"/>
    <col min="4092" max="4092" width="17.85546875" style="241" customWidth="1"/>
    <col min="4093" max="4093" width="15.85546875" style="241" customWidth="1"/>
    <col min="4094" max="4094" width="14.7109375" style="241" customWidth="1"/>
    <col min="4095" max="4095" width="15.85546875" style="241" customWidth="1"/>
    <col min="4096" max="4096" width="15" style="241" customWidth="1"/>
    <col min="4097" max="4097" width="18.140625" style="241" customWidth="1"/>
    <col min="4098" max="4098" width="22.42578125" style="241" customWidth="1"/>
    <col min="4099" max="4099" width="23.7109375" style="241" customWidth="1"/>
    <col min="4100" max="4100" width="14" style="241" customWidth="1"/>
    <col min="4101" max="4101" width="15" style="241" customWidth="1"/>
    <col min="4102" max="4102" width="21.28515625" style="241" customWidth="1"/>
    <col min="4103" max="4103" width="15.85546875" style="241" customWidth="1"/>
    <col min="4104" max="4104" width="18.28515625" style="241" customWidth="1"/>
    <col min="4105" max="4105" width="16.28515625" style="241" customWidth="1"/>
    <col min="4106" max="4310" width="11.42578125" style="241"/>
    <col min="4311" max="4322" width="2.7109375" style="241" customWidth="1"/>
    <col min="4323" max="4324" width="6.140625" style="241" customWidth="1"/>
    <col min="4325" max="4333" width="2.7109375" style="241" customWidth="1"/>
    <col min="4334" max="4334" width="14.7109375" style="241" customWidth="1"/>
    <col min="4335" max="4335" width="6.28515625" style="241" customWidth="1"/>
    <col min="4336" max="4346" width="2.7109375" style="241" customWidth="1"/>
    <col min="4347" max="4347" width="25.42578125" style="241" customWidth="1"/>
    <col min="4348" max="4348" width="17.85546875" style="241" customWidth="1"/>
    <col min="4349" max="4349" width="15.85546875" style="241" customWidth="1"/>
    <col min="4350" max="4350" width="14.7109375" style="241" customWidth="1"/>
    <col min="4351" max="4351" width="15.85546875" style="241" customWidth="1"/>
    <col min="4352" max="4352" width="15" style="241" customWidth="1"/>
    <col min="4353" max="4353" width="18.140625" style="241" customWidth="1"/>
    <col min="4354" max="4354" width="22.42578125" style="241" customWidth="1"/>
    <col min="4355" max="4355" width="23.7109375" style="241" customWidth="1"/>
    <col min="4356" max="4356" width="14" style="241" customWidth="1"/>
    <col min="4357" max="4357" width="15" style="241" customWidth="1"/>
    <col min="4358" max="4358" width="21.28515625" style="241" customWidth="1"/>
    <col min="4359" max="4359" width="15.85546875" style="241" customWidth="1"/>
    <col min="4360" max="4360" width="18.28515625" style="241" customWidth="1"/>
    <col min="4361" max="4361" width="16.28515625" style="241" customWidth="1"/>
    <col min="4362" max="4566" width="11.42578125" style="241"/>
    <col min="4567" max="4578" width="2.7109375" style="241" customWidth="1"/>
    <col min="4579" max="4580" width="6.140625" style="241" customWidth="1"/>
    <col min="4581" max="4589" width="2.7109375" style="241" customWidth="1"/>
    <col min="4590" max="4590" width="14.7109375" style="241" customWidth="1"/>
    <col min="4591" max="4591" width="6.28515625" style="241" customWidth="1"/>
    <col min="4592" max="4602" width="2.7109375" style="241" customWidth="1"/>
    <col min="4603" max="4603" width="25.42578125" style="241" customWidth="1"/>
    <col min="4604" max="4604" width="17.85546875" style="241" customWidth="1"/>
    <col min="4605" max="4605" width="15.85546875" style="241" customWidth="1"/>
    <col min="4606" max="4606" width="14.7109375" style="241" customWidth="1"/>
    <col min="4607" max="4607" width="15.85546875" style="241" customWidth="1"/>
    <col min="4608" max="4608" width="15" style="241" customWidth="1"/>
    <col min="4609" max="4609" width="18.140625" style="241" customWidth="1"/>
    <col min="4610" max="4610" width="22.42578125" style="241" customWidth="1"/>
    <col min="4611" max="4611" width="23.7109375" style="241" customWidth="1"/>
    <col min="4612" max="4612" width="14" style="241" customWidth="1"/>
    <col min="4613" max="4613" width="15" style="241" customWidth="1"/>
    <col min="4614" max="4614" width="21.28515625" style="241" customWidth="1"/>
    <col min="4615" max="4615" width="15.85546875" style="241" customWidth="1"/>
    <col min="4616" max="4616" width="18.28515625" style="241" customWidth="1"/>
    <col min="4617" max="4617" width="16.28515625" style="241" customWidth="1"/>
    <col min="4618" max="4822" width="11.42578125" style="241"/>
    <col min="4823" max="4834" width="2.7109375" style="241" customWidth="1"/>
    <col min="4835" max="4836" width="6.140625" style="241" customWidth="1"/>
    <col min="4837" max="4845" width="2.7109375" style="241" customWidth="1"/>
    <col min="4846" max="4846" width="14.7109375" style="241" customWidth="1"/>
    <col min="4847" max="4847" width="6.28515625" style="241" customWidth="1"/>
    <col min="4848" max="4858" width="2.7109375" style="241" customWidth="1"/>
    <col min="4859" max="4859" width="25.42578125" style="241" customWidth="1"/>
    <col min="4860" max="4860" width="17.85546875" style="241" customWidth="1"/>
    <col min="4861" max="4861" width="15.85546875" style="241" customWidth="1"/>
    <col min="4862" max="4862" width="14.7109375" style="241" customWidth="1"/>
    <col min="4863" max="4863" width="15.85546875" style="241" customWidth="1"/>
    <col min="4864" max="4864" width="15" style="241" customWidth="1"/>
    <col min="4865" max="4865" width="18.140625" style="241" customWidth="1"/>
    <col min="4866" max="4866" width="22.42578125" style="241" customWidth="1"/>
    <col min="4867" max="4867" width="23.7109375" style="241" customWidth="1"/>
    <col min="4868" max="4868" width="14" style="241" customWidth="1"/>
    <col min="4869" max="4869" width="15" style="241" customWidth="1"/>
    <col min="4870" max="4870" width="21.28515625" style="241" customWidth="1"/>
    <col min="4871" max="4871" width="15.85546875" style="241" customWidth="1"/>
    <col min="4872" max="4872" width="18.28515625" style="241" customWidth="1"/>
    <col min="4873" max="4873" width="16.28515625" style="241" customWidth="1"/>
    <col min="4874" max="5078" width="11.42578125" style="241"/>
    <col min="5079" max="5090" width="2.7109375" style="241" customWidth="1"/>
    <col min="5091" max="5092" width="6.140625" style="241" customWidth="1"/>
    <col min="5093" max="5101" width="2.7109375" style="241" customWidth="1"/>
    <col min="5102" max="5102" width="14.7109375" style="241" customWidth="1"/>
    <col min="5103" max="5103" width="6.28515625" style="241" customWidth="1"/>
    <col min="5104" max="5114" width="2.7109375" style="241" customWidth="1"/>
    <col min="5115" max="5115" width="25.42578125" style="241" customWidth="1"/>
    <col min="5116" max="5116" width="17.85546875" style="241" customWidth="1"/>
    <col min="5117" max="5117" width="15.85546875" style="241" customWidth="1"/>
    <col min="5118" max="5118" width="14.7109375" style="241" customWidth="1"/>
    <col min="5119" max="5119" width="15.85546875" style="241" customWidth="1"/>
    <col min="5120" max="5120" width="15" style="241" customWidth="1"/>
    <col min="5121" max="5121" width="18.140625" style="241" customWidth="1"/>
    <col min="5122" max="5122" width="22.42578125" style="241" customWidth="1"/>
    <col min="5123" max="5123" width="23.7109375" style="241" customWidth="1"/>
    <col min="5124" max="5124" width="14" style="241" customWidth="1"/>
    <col min="5125" max="5125" width="15" style="241" customWidth="1"/>
    <col min="5126" max="5126" width="21.28515625" style="241" customWidth="1"/>
    <col min="5127" max="5127" width="15.85546875" style="241" customWidth="1"/>
    <col min="5128" max="5128" width="18.28515625" style="241" customWidth="1"/>
    <col min="5129" max="5129" width="16.28515625" style="241" customWidth="1"/>
    <col min="5130" max="5334" width="11.42578125" style="241"/>
    <col min="5335" max="5346" width="2.7109375" style="241" customWidth="1"/>
    <col min="5347" max="5348" width="6.140625" style="241" customWidth="1"/>
    <col min="5349" max="5357" width="2.7109375" style="241" customWidth="1"/>
    <col min="5358" max="5358" width="14.7109375" style="241" customWidth="1"/>
    <col min="5359" max="5359" width="6.28515625" style="241" customWidth="1"/>
    <col min="5360" max="5370" width="2.7109375" style="241" customWidth="1"/>
    <col min="5371" max="5371" width="25.42578125" style="241" customWidth="1"/>
    <col min="5372" max="5372" width="17.85546875" style="241" customWidth="1"/>
    <col min="5373" max="5373" width="15.85546875" style="241" customWidth="1"/>
    <col min="5374" max="5374" width="14.7109375" style="241" customWidth="1"/>
    <col min="5375" max="5375" width="15.85546875" style="241" customWidth="1"/>
    <col min="5376" max="5376" width="15" style="241" customWidth="1"/>
    <col min="5377" max="5377" width="18.140625" style="241" customWidth="1"/>
    <col min="5378" max="5378" width="22.42578125" style="241" customWidth="1"/>
    <col min="5379" max="5379" width="23.7109375" style="241" customWidth="1"/>
    <col min="5380" max="5380" width="14" style="241" customWidth="1"/>
    <col min="5381" max="5381" width="15" style="241" customWidth="1"/>
    <col min="5382" max="5382" width="21.28515625" style="241" customWidth="1"/>
    <col min="5383" max="5383" width="15.85546875" style="241" customWidth="1"/>
    <col min="5384" max="5384" width="18.28515625" style="241" customWidth="1"/>
    <col min="5385" max="5385" width="16.28515625" style="241" customWidth="1"/>
    <col min="5386" max="5590" width="11.42578125" style="241"/>
    <col min="5591" max="5602" width="2.7109375" style="241" customWidth="1"/>
    <col min="5603" max="5604" width="6.140625" style="241" customWidth="1"/>
    <col min="5605" max="5613" width="2.7109375" style="241" customWidth="1"/>
    <col min="5614" max="5614" width="14.7109375" style="241" customWidth="1"/>
    <col min="5615" max="5615" width="6.28515625" style="241" customWidth="1"/>
    <col min="5616" max="5626" width="2.7109375" style="241" customWidth="1"/>
    <col min="5627" max="5627" width="25.42578125" style="241" customWidth="1"/>
    <col min="5628" max="5628" width="17.85546875" style="241" customWidth="1"/>
    <col min="5629" max="5629" width="15.85546875" style="241" customWidth="1"/>
    <col min="5630" max="5630" width="14.7109375" style="241" customWidth="1"/>
    <col min="5631" max="5631" width="15.85546875" style="241" customWidth="1"/>
    <col min="5632" max="5632" width="15" style="241" customWidth="1"/>
    <col min="5633" max="5633" width="18.140625" style="241" customWidth="1"/>
    <col min="5634" max="5634" width="22.42578125" style="241" customWidth="1"/>
    <col min="5635" max="5635" width="23.7109375" style="241" customWidth="1"/>
    <col min="5636" max="5636" width="14" style="241" customWidth="1"/>
    <col min="5637" max="5637" width="15" style="241" customWidth="1"/>
    <col min="5638" max="5638" width="21.28515625" style="241" customWidth="1"/>
    <col min="5639" max="5639" width="15.85546875" style="241" customWidth="1"/>
    <col min="5640" max="5640" width="18.28515625" style="241" customWidth="1"/>
    <col min="5641" max="5641" width="16.28515625" style="241" customWidth="1"/>
    <col min="5642" max="5846" width="11.42578125" style="241"/>
    <col min="5847" max="5858" width="2.7109375" style="241" customWidth="1"/>
    <col min="5859" max="5860" width="6.140625" style="241" customWidth="1"/>
    <col min="5861" max="5869" width="2.7109375" style="241" customWidth="1"/>
    <col min="5870" max="5870" width="14.7109375" style="241" customWidth="1"/>
    <col min="5871" max="5871" width="6.28515625" style="241" customWidth="1"/>
    <col min="5872" max="5882" width="2.7109375" style="241" customWidth="1"/>
    <col min="5883" max="5883" width="25.42578125" style="241" customWidth="1"/>
    <col min="5884" max="5884" width="17.85546875" style="241" customWidth="1"/>
    <col min="5885" max="5885" width="15.85546875" style="241" customWidth="1"/>
    <col min="5886" max="5886" width="14.7109375" style="241" customWidth="1"/>
    <col min="5887" max="5887" width="15.85546875" style="241" customWidth="1"/>
    <col min="5888" max="5888" width="15" style="241" customWidth="1"/>
    <col min="5889" max="5889" width="18.140625" style="241" customWidth="1"/>
    <col min="5890" max="5890" width="22.42578125" style="241" customWidth="1"/>
    <col min="5891" max="5891" width="23.7109375" style="241" customWidth="1"/>
    <col min="5892" max="5892" width="14" style="241" customWidth="1"/>
    <col min="5893" max="5893" width="15" style="241" customWidth="1"/>
    <col min="5894" max="5894" width="21.28515625" style="241" customWidth="1"/>
    <col min="5895" max="5895" width="15.85546875" style="241" customWidth="1"/>
    <col min="5896" max="5896" width="18.28515625" style="241" customWidth="1"/>
    <col min="5897" max="5897" width="16.28515625" style="241" customWidth="1"/>
    <col min="5898" max="6102" width="11.42578125" style="241"/>
    <col min="6103" max="6114" width="2.7109375" style="241" customWidth="1"/>
    <col min="6115" max="6116" width="6.140625" style="241" customWidth="1"/>
    <col min="6117" max="6125" width="2.7109375" style="241" customWidth="1"/>
    <col min="6126" max="6126" width="14.7109375" style="241" customWidth="1"/>
    <col min="6127" max="6127" width="6.28515625" style="241" customWidth="1"/>
    <col min="6128" max="6138" width="2.7109375" style="241" customWidth="1"/>
    <col min="6139" max="6139" width="25.42578125" style="241" customWidth="1"/>
    <col min="6140" max="6140" width="17.85546875" style="241" customWidth="1"/>
    <col min="6141" max="6141" width="15.85546875" style="241" customWidth="1"/>
    <col min="6142" max="6142" width="14.7109375" style="241" customWidth="1"/>
    <col min="6143" max="6143" width="15.85546875" style="241" customWidth="1"/>
    <col min="6144" max="6144" width="15" style="241" customWidth="1"/>
    <col min="6145" max="6145" width="18.140625" style="241" customWidth="1"/>
    <col min="6146" max="6146" width="22.42578125" style="241" customWidth="1"/>
    <col min="6147" max="6147" width="23.7109375" style="241" customWidth="1"/>
    <col min="6148" max="6148" width="14" style="241" customWidth="1"/>
    <col min="6149" max="6149" width="15" style="241" customWidth="1"/>
    <col min="6150" max="6150" width="21.28515625" style="241" customWidth="1"/>
    <col min="6151" max="6151" width="15.85546875" style="241" customWidth="1"/>
    <col min="6152" max="6152" width="18.28515625" style="241" customWidth="1"/>
    <col min="6153" max="6153" width="16.28515625" style="241" customWidth="1"/>
    <col min="6154" max="6358" width="11.42578125" style="241"/>
    <col min="6359" max="6370" width="2.7109375" style="241" customWidth="1"/>
    <col min="6371" max="6372" width="6.140625" style="241" customWidth="1"/>
    <col min="6373" max="6381" width="2.7109375" style="241" customWidth="1"/>
    <col min="6382" max="6382" width="14.7109375" style="241" customWidth="1"/>
    <col min="6383" max="6383" width="6.28515625" style="241" customWidth="1"/>
    <col min="6384" max="6394" width="2.7109375" style="241" customWidth="1"/>
    <col min="6395" max="6395" width="25.42578125" style="241" customWidth="1"/>
    <col min="6396" max="6396" width="17.85546875" style="241" customWidth="1"/>
    <col min="6397" max="6397" width="15.85546875" style="241" customWidth="1"/>
    <col min="6398" max="6398" width="14.7109375" style="241" customWidth="1"/>
    <col min="6399" max="6399" width="15.85546875" style="241" customWidth="1"/>
    <col min="6400" max="6400" width="15" style="241" customWidth="1"/>
    <col min="6401" max="6401" width="18.140625" style="241" customWidth="1"/>
    <col min="6402" max="6402" width="22.42578125" style="241" customWidth="1"/>
    <col min="6403" max="6403" width="23.7109375" style="241" customWidth="1"/>
    <col min="6404" max="6404" width="14" style="241" customWidth="1"/>
    <col min="6405" max="6405" width="15" style="241" customWidth="1"/>
    <col min="6406" max="6406" width="21.28515625" style="241" customWidth="1"/>
    <col min="6407" max="6407" width="15.85546875" style="241" customWidth="1"/>
    <col min="6408" max="6408" width="18.28515625" style="241" customWidth="1"/>
    <col min="6409" max="6409" width="16.28515625" style="241" customWidth="1"/>
    <col min="6410" max="6614" width="11.42578125" style="241"/>
    <col min="6615" max="6626" width="2.7109375" style="241" customWidth="1"/>
    <col min="6627" max="6628" width="6.140625" style="241" customWidth="1"/>
    <col min="6629" max="6637" width="2.7109375" style="241" customWidth="1"/>
    <col min="6638" max="6638" width="14.7109375" style="241" customWidth="1"/>
    <col min="6639" max="6639" width="6.28515625" style="241" customWidth="1"/>
    <col min="6640" max="6650" width="2.7109375" style="241" customWidth="1"/>
    <col min="6651" max="6651" width="25.42578125" style="241" customWidth="1"/>
    <col min="6652" max="6652" width="17.85546875" style="241" customWidth="1"/>
    <col min="6653" max="6653" width="15.85546875" style="241" customWidth="1"/>
    <col min="6654" max="6654" width="14.7109375" style="241" customWidth="1"/>
    <col min="6655" max="6655" width="15.85546875" style="241" customWidth="1"/>
    <col min="6656" max="6656" width="15" style="241" customWidth="1"/>
    <col min="6657" max="6657" width="18.140625" style="241" customWidth="1"/>
    <col min="6658" max="6658" width="22.42578125" style="241" customWidth="1"/>
    <col min="6659" max="6659" width="23.7109375" style="241" customWidth="1"/>
    <col min="6660" max="6660" width="14" style="241" customWidth="1"/>
    <col min="6661" max="6661" width="15" style="241" customWidth="1"/>
    <col min="6662" max="6662" width="21.28515625" style="241" customWidth="1"/>
    <col min="6663" max="6663" width="15.85546875" style="241" customWidth="1"/>
    <col min="6664" max="6664" width="18.28515625" style="241" customWidth="1"/>
    <col min="6665" max="6665" width="16.28515625" style="241" customWidth="1"/>
    <col min="6666" max="6870" width="11.42578125" style="241"/>
    <col min="6871" max="6882" width="2.7109375" style="241" customWidth="1"/>
    <col min="6883" max="6884" width="6.140625" style="241" customWidth="1"/>
    <col min="6885" max="6893" width="2.7109375" style="241" customWidth="1"/>
    <col min="6894" max="6894" width="14.7109375" style="241" customWidth="1"/>
    <col min="6895" max="6895" width="6.28515625" style="241" customWidth="1"/>
    <col min="6896" max="6906" width="2.7109375" style="241" customWidth="1"/>
    <col min="6907" max="6907" width="25.42578125" style="241" customWidth="1"/>
    <col min="6908" max="6908" width="17.85546875" style="241" customWidth="1"/>
    <col min="6909" max="6909" width="15.85546875" style="241" customWidth="1"/>
    <col min="6910" max="6910" width="14.7109375" style="241" customWidth="1"/>
    <col min="6911" max="6911" width="15.85546875" style="241" customWidth="1"/>
    <col min="6912" max="6912" width="15" style="241" customWidth="1"/>
    <col min="6913" max="6913" width="18.140625" style="241" customWidth="1"/>
    <col min="6914" max="6914" width="22.42578125" style="241" customWidth="1"/>
    <col min="6915" max="6915" width="23.7109375" style="241" customWidth="1"/>
    <col min="6916" max="6916" width="14" style="241" customWidth="1"/>
    <col min="6917" max="6917" width="15" style="241" customWidth="1"/>
    <col min="6918" max="6918" width="21.28515625" style="241" customWidth="1"/>
    <col min="6919" max="6919" width="15.85546875" style="241" customWidth="1"/>
    <col min="6920" max="6920" width="18.28515625" style="241" customWidth="1"/>
    <col min="6921" max="6921" width="16.28515625" style="241" customWidth="1"/>
    <col min="6922" max="7126" width="11.42578125" style="241"/>
    <col min="7127" max="7138" width="2.7109375" style="241" customWidth="1"/>
    <col min="7139" max="7140" width="6.140625" style="241" customWidth="1"/>
    <col min="7141" max="7149" width="2.7109375" style="241" customWidth="1"/>
    <col min="7150" max="7150" width="14.7109375" style="241" customWidth="1"/>
    <col min="7151" max="7151" width="6.28515625" style="241" customWidth="1"/>
    <col min="7152" max="7162" width="2.7109375" style="241" customWidth="1"/>
    <col min="7163" max="7163" width="25.42578125" style="241" customWidth="1"/>
    <col min="7164" max="7164" width="17.85546875" style="241" customWidth="1"/>
    <col min="7165" max="7165" width="15.85546875" style="241" customWidth="1"/>
    <col min="7166" max="7166" width="14.7109375" style="241" customWidth="1"/>
    <col min="7167" max="7167" width="15.85546875" style="241" customWidth="1"/>
    <col min="7168" max="7168" width="15" style="241" customWidth="1"/>
    <col min="7169" max="7169" width="18.140625" style="241" customWidth="1"/>
    <col min="7170" max="7170" width="22.42578125" style="241" customWidth="1"/>
    <col min="7171" max="7171" width="23.7109375" style="241" customWidth="1"/>
    <col min="7172" max="7172" width="14" style="241" customWidth="1"/>
    <col min="7173" max="7173" width="15" style="241" customWidth="1"/>
    <col min="7174" max="7174" width="21.28515625" style="241" customWidth="1"/>
    <col min="7175" max="7175" width="15.85546875" style="241" customWidth="1"/>
    <col min="7176" max="7176" width="18.28515625" style="241" customWidth="1"/>
    <col min="7177" max="7177" width="16.28515625" style="241" customWidth="1"/>
    <col min="7178" max="7382" width="11.42578125" style="241"/>
    <col min="7383" max="7394" width="2.7109375" style="241" customWidth="1"/>
    <col min="7395" max="7396" width="6.140625" style="241" customWidth="1"/>
    <col min="7397" max="7405" width="2.7109375" style="241" customWidth="1"/>
    <col min="7406" max="7406" width="14.7109375" style="241" customWidth="1"/>
    <col min="7407" max="7407" width="6.28515625" style="241" customWidth="1"/>
    <col min="7408" max="7418" width="2.7109375" style="241" customWidth="1"/>
    <col min="7419" max="7419" width="25.42578125" style="241" customWidth="1"/>
    <col min="7420" max="7420" width="17.85546875" style="241" customWidth="1"/>
    <col min="7421" max="7421" width="15.85546875" style="241" customWidth="1"/>
    <col min="7422" max="7422" width="14.7109375" style="241" customWidth="1"/>
    <col min="7423" max="7423" width="15.85546875" style="241" customWidth="1"/>
    <col min="7424" max="7424" width="15" style="241" customWidth="1"/>
    <col min="7425" max="7425" width="18.140625" style="241" customWidth="1"/>
    <col min="7426" max="7426" width="22.42578125" style="241" customWidth="1"/>
    <col min="7427" max="7427" width="23.7109375" style="241" customWidth="1"/>
    <col min="7428" max="7428" width="14" style="241" customWidth="1"/>
    <col min="7429" max="7429" width="15" style="241" customWidth="1"/>
    <col min="7430" max="7430" width="21.28515625" style="241" customWidth="1"/>
    <col min="7431" max="7431" width="15.85546875" style="241" customWidth="1"/>
    <col min="7432" max="7432" width="18.28515625" style="241" customWidth="1"/>
    <col min="7433" max="7433" width="16.28515625" style="241" customWidth="1"/>
    <col min="7434" max="7638" width="11.42578125" style="241"/>
    <col min="7639" max="7650" width="2.7109375" style="241" customWidth="1"/>
    <col min="7651" max="7652" width="6.140625" style="241" customWidth="1"/>
    <col min="7653" max="7661" width="2.7109375" style="241" customWidth="1"/>
    <col min="7662" max="7662" width="14.7109375" style="241" customWidth="1"/>
    <col min="7663" max="7663" width="6.28515625" style="241" customWidth="1"/>
    <col min="7664" max="7674" width="2.7109375" style="241" customWidth="1"/>
    <col min="7675" max="7675" width="25.42578125" style="241" customWidth="1"/>
    <col min="7676" max="7676" width="17.85546875" style="241" customWidth="1"/>
    <col min="7677" max="7677" width="15.85546875" style="241" customWidth="1"/>
    <col min="7678" max="7678" width="14.7109375" style="241" customWidth="1"/>
    <col min="7679" max="7679" width="15.85546875" style="241" customWidth="1"/>
    <col min="7680" max="7680" width="15" style="241" customWidth="1"/>
    <col min="7681" max="7681" width="18.140625" style="241" customWidth="1"/>
    <col min="7682" max="7682" width="22.42578125" style="241" customWidth="1"/>
    <col min="7683" max="7683" width="23.7109375" style="241" customWidth="1"/>
    <col min="7684" max="7684" width="14" style="241" customWidth="1"/>
    <col min="7685" max="7685" width="15" style="241" customWidth="1"/>
    <col min="7686" max="7686" width="21.28515625" style="241" customWidth="1"/>
    <col min="7687" max="7687" width="15.85546875" style="241" customWidth="1"/>
    <col min="7688" max="7688" width="18.28515625" style="241" customWidth="1"/>
    <col min="7689" max="7689" width="16.28515625" style="241" customWidth="1"/>
    <col min="7690" max="7894" width="11.42578125" style="241"/>
    <col min="7895" max="7906" width="2.7109375" style="241" customWidth="1"/>
    <col min="7907" max="7908" width="6.140625" style="241" customWidth="1"/>
    <col min="7909" max="7917" width="2.7109375" style="241" customWidth="1"/>
    <col min="7918" max="7918" width="14.7109375" style="241" customWidth="1"/>
    <col min="7919" max="7919" width="6.28515625" style="241" customWidth="1"/>
    <col min="7920" max="7930" width="2.7109375" style="241" customWidth="1"/>
    <col min="7931" max="7931" width="25.42578125" style="241" customWidth="1"/>
    <col min="7932" max="7932" width="17.85546875" style="241" customWidth="1"/>
    <col min="7933" max="7933" width="15.85546875" style="241" customWidth="1"/>
    <col min="7934" max="7934" width="14.7109375" style="241" customWidth="1"/>
    <col min="7935" max="7935" width="15.85546875" style="241" customWidth="1"/>
    <col min="7936" max="7936" width="15" style="241" customWidth="1"/>
    <col min="7937" max="7937" width="18.140625" style="241" customWidth="1"/>
    <col min="7938" max="7938" width="22.42578125" style="241" customWidth="1"/>
    <col min="7939" max="7939" width="23.7109375" style="241" customWidth="1"/>
    <col min="7940" max="7940" width="14" style="241" customWidth="1"/>
    <col min="7941" max="7941" width="15" style="241" customWidth="1"/>
    <col min="7942" max="7942" width="21.28515625" style="241" customWidth="1"/>
    <col min="7943" max="7943" width="15.85546875" style="241" customWidth="1"/>
    <col min="7944" max="7944" width="18.28515625" style="241" customWidth="1"/>
    <col min="7945" max="7945" width="16.28515625" style="241" customWidth="1"/>
    <col min="7946" max="8150" width="11.42578125" style="241"/>
    <col min="8151" max="8162" width="2.7109375" style="241" customWidth="1"/>
    <col min="8163" max="8164" width="6.140625" style="241" customWidth="1"/>
    <col min="8165" max="8173" width="2.7109375" style="241" customWidth="1"/>
    <col min="8174" max="8174" width="14.7109375" style="241" customWidth="1"/>
    <col min="8175" max="8175" width="6.28515625" style="241" customWidth="1"/>
    <col min="8176" max="8186" width="2.7109375" style="241" customWidth="1"/>
    <col min="8187" max="8187" width="25.42578125" style="241" customWidth="1"/>
    <col min="8188" max="8188" width="17.85546875" style="241" customWidth="1"/>
    <col min="8189" max="8189" width="15.85546875" style="241" customWidth="1"/>
    <col min="8190" max="8190" width="14.7109375" style="241" customWidth="1"/>
    <col min="8191" max="8191" width="15.85546875" style="241" customWidth="1"/>
    <col min="8192" max="8192" width="15" style="241" customWidth="1"/>
    <col min="8193" max="8193" width="18.140625" style="241" customWidth="1"/>
    <col min="8194" max="8194" width="22.42578125" style="241" customWidth="1"/>
    <col min="8195" max="8195" width="23.7109375" style="241" customWidth="1"/>
    <col min="8196" max="8196" width="14" style="241" customWidth="1"/>
    <col min="8197" max="8197" width="15" style="241" customWidth="1"/>
    <col min="8198" max="8198" width="21.28515625" style="241" customWidth="1"/>
    <col min="8199" max="8199" width="15.85546875" style="241" customWidth="1"/>
    <col min="8200" max="8200" width="18.28515625" style="241" customWidth="1"/>
    <col min="8201" max="8201" width="16.28515625" style="241" customWidth="1"/>
    <col min="8202" max="8406" width="11.42578125" style="241"/>
    <col min="8407" max="8418" width="2.7109375" style="241" customWidth="1"/>
    <col min="8419" max="8420" width="6.140625" style="241" customWidth="1"/>
    <col min="8421" max="8429" width="2.7109375" style="241" customWidth="1"/>
    <col min="8430" max="8430" width="14.7109375" style="241" customWidth="1"/>
    <col min="8431" max="8431" width="6.28515625" style="241" customWidth="1"/>
    <col min="8432" max="8442" width="2.7109375" style="241" customWidth="1"/>
    <col min="8443" max="8443" width="25.42578125" style="241" customWidth="1"/>
    <col min="8444" max="8444" width="17.85546875" style="241" customWidth="1"/>
    <col min="8445" max="8445" width="15.85546875" style="241" customWidth="1"/>
    <col min="8446" max="8446" width="14.7109375" style="241" customWidth="1"/>
    <col min="8447" max="8447" width="15.85546875" style="241" customWidth="1"/>
    <col min="8448" max="8448" width="15" style="241" customWidth="1"/>
    <col min="8449" max="8449" width="18.140625" style="241" customWidth="1"/>
    <col min="8450" max="8450" width="22.42578125" style="241" customWidth="1"/>
    <col min="8451" max="8451" width="23.7109375" style="241" customWidth="1"/>
    <col min="8452" max="8452" width="14" style="241" customWidth="1"/>
    <col min="8453" max="8453" width="15" style="241" customWidth="1"/>
    <col min="8454" max="8454" width="21.28515625" style="241" customWidth="1"/>
    <col min="8455" max="8455" width="15.85546875" style="241" customWidth="1"/>
    <col min="8456" max="8456" width="18.28515625" style="241" customWidth="1"/>
    <col min="8457" max="8457" width="16.28515625" style="241" customWidth="1"/>
    <col min="8458" max="8662" width="11.42578125" style="241"/>
    <col min="8663" max="8674" width="2.7109375" style="241" customWidth="1"/>
    <col min="8675" max="8676" width="6.140625" style="241" customWidth="1"/>
    <col min="8677" max="8685" width="2.7109375" style="241" customWidth="1"/>
    <col min="8686" max="8686" width="14.7109375" style="241" customWidth="1"/>
    <col min="8687" max="8687" width="6.28515625" style="241" customWidth="1"/>
    <col min="8688" max="8698" width="2.7109375" style="241" customWidth="1"/>
    <col min="8699" max="8699" width="25.42578125" style="241" customWidth="1"/>
    <col min="8700" max="8700" width="17.85546875" style="241" customWidth="1"/>
    <col min="8701" max="8701" width="15.85546875" style="241" customWidth="1"/>
    <col min="8702" max="8702" width="14.7109375" style="241" customWidth="1"/>
    <col min="8703" max="8703" width="15.85546875" style="241" customWidth="1"/>
    <col min="8704" max="8704" width="15" style="241" customWidth="1"/>
    <col min="8705" max="8705" width="18.140625" style="241" customWidth="1"/>
    <col min="8706" max="8706" width="22.42578125" style="241" customWidth="1"/>
    <col min="8707" max="8707" width="23.7109375" style="241" customWidth="1"/>
    <col min="8708" max="8708" width="14" style="241" customWidth="1"/>
    <col min="8709" max="8709" width="15" style="241" customWidth="1"/>
    <col min="8710" max="8710" width="21.28515625" style="241" customWidth="1"/>
    <col min="8711" max="8711" width="15.85546875" style="241" customWidth="1"/>
    <col min="8712" max="8712" width="18.28515625" style="241" customWidth="1"/>
    <col min="8713" max="8713" width="16.28515625" style="241" customWidth="1"/>
    <col min="8714" max="8918" width="11.42578125" style="241"/>
    <col min="8919" max="8930" width="2.7109375" style="241" customWidth="1"/>
    <col min="8931" max="8932" width="6.140625" style="241" customWidth="1"/>
    <col min="8933" max="8941" width="2.7109375" style="241" customWidth="1"/>
    <col min="8942" max="8942" width="14.7109375" style="241" customWidth="1"/>
    <col min="8943" max="8943" width="6.28515625" style="241" customWidth="1"/>
    <col min="8944" max="8954" width="2.7109375" style="241" customWidth="1"/>
    <col min="8955" max="8955" width="25.42578125" style="241" customWidth="1"/>
    <col min="8956" max="8956" width="17.85546875" style="241" customWidth="1"/>
    <col min="8957" max="8957" width="15.85546875" style="241" customWidth="1"/>
    <col min="8958" max="8958" width="14.7109375" style="241" customWidth="1"/>
    <col min="8959" max="8959" width="15.85546875" style="241" customWidth="1"/>
    <col min="8960" max="8960" width="15" style="241" customWidth="1"/>
    <col min="8961" max="8961" width="18.140625" style="241" customWidth="1"/>
    <col min="8962" max="8962" width="22.42578125" style="241" customWidth="1"/>
    <col min="8963" max="8963" width="23.7109375" style="241" customWidth="1"/>
    <col min="8964" max="8964" width="14" style="241" customWidth="1"/>
    <col min="8965" max="8965" width="15" style="241" customWidth="1"/>
    <col min="8966" max="8966" width="21.28515625" style="241" customWidth="1"/>
    <col min="8967" max="8967" width="15.85546875" style="241" customWidth="1"/>
    <col min="8968" max="8968" width="18.28515625" style="241" customWidth="1"/>
    <col min="8969" max="8969" width="16.28515625" style="241" customWidth="1"/>
    <col min="8970" max="9174" width="11.42578125" style="241"/>
    <col min="9175" max="9186" width="2.7109375" style="241" customWidth="1"/>
    <col min="9187" max="9188" width="6.140625" style="241" customWidth="1"/>
    <col min="9189" max="9197" width="2.7109375" style="241" customWidth="1"/>
    <col min="9198" max="9198" width="14.7109375" style="241" customWidth="1"/>
    <col min="9199" max="9199" width="6.28515625" style="241" customWidth="1"/>
    <col min="9200" max="9210" width="2.7109375" style="241" customWidth="1"/>
    <col min="9211" max="9211" width="25.42578125" style="241" customWidth="1"/>
    <col min="9212" max="9212" width="17.85546875" style="241" customWidth="1"/>
    <col min="9213" max="9213" width="15.85546875" style="241" customWidth="1"/>
    <col min="9214" max="9214" width="14.7109375" style="241" customWidth="1"/>
    <col min="9215" max="9215" width="15.85546875" style="241" customWidth="1"/>
    <col min="9216" max="9216" width="15" style="241" customWidth="1"/>
    <col min="9217" max="9217" width="18.140625" style="241" customWidth="1"/>
    <col min="9218" max="9218" width="22.42578125" style="241" customWidth="1"/>
    <col min="9219" max="9219" width="23.7109375" style="241" customWidth="1"/>
    <col min="9220" max="9220" width="14" style="241" customWidth="1"/>
    <col min="9221" max="9221" width="15" style="241" customWidth="1"/>
    <col min="9222" max="9222" width="21.28515625" style="241" customWidth="1"/>
    <col min="9223" max="9223" width="15.85546875" style="241" customWidth="1"/>
    <col min="9224" max="9224" width="18.28515625" style="241" customWidth="1"/>
    <col min="9225" max="9225" width="16.28515625" style="241" customWidth="1"/>
    <col min="9226" max="9430" width="11.42578125" style="241"/>
    <col min="9431" max="9442" width="2.7109375" style="241" customWidth="1"/>
    <col min="9443" max="9444" width="6.140625" style="241" customWidth="1"/>
    <col min="9445" max="9453" width="2.7109375" style="241" customWidth="1"/>
    <col min="9454" max="9454" width="14.7109375" style="241" customWidth="1"/>
    <col min="9455" max="9455" width="6.28515625" style="241" customWidth="1"/>
    <col min="9456" max="9466" width="2.7109375" style="241" customWidth="1"/>
    <col min="9467" max="9467" width="25.42578125" style="241" customWidth="1"/>
    <col min="9468" max="9468" width="17.85546875" style="241" customWidth="1"/>
    <col min="9469" max="9469" width="15.85546875" style="241" customWidth="1"/>
    <col min="9470" max="9470" width="14.7109375" style="241" customWidth="1"/>
    <col min="9471" max="9471" width="15.85546875" style="241" customWidth="1"/>
    <col min="9472" max="9472" width="15" style="241" customWidth="1"/>
    <col min="9473" max="9473" width="18.140625" style="241" customWidth="1"/>
    <col min="9474" max="9474" width="22.42578125" style="241" customWidth="1"/>
    <col min="9475" max="9475" width="23.7109375" style="241" customWidth="1"/>
    <col min="9476" max="9476" width="14" style="241" customWidth="1"/>
    <col min="9477" max="9477" width="15" style="241" customWidth="1"/>
    <col min="9478" max="9478" width="21.28515625" style="241" customWidth="1"/>
    <col min="9479" max="9479" width="15.85546875" style="241" customWidth="1"/>
    <col min="9480" max="9480" width="18.28515625" style="241" customWidth="1"/>
    <col min="9481" max="9481" width="16.28515625" style="241" customWidth="1"/>
    <col min="9482" max="9686" width="11.42578125" style="241"/>
    <col min="9687" max="9698" width="2.7109375" style="241" customWidth="1"/>
    <col min="9699" max="9700" width="6.140625" style="241" customWidth="1"/>
    <col min="9701" max="9709" width="2.7109375" style="241" customWidth="1"/>
    <col min="9710" max="9710" width="14.7109375" style="241" customWidth="1"/>
    <col min="9711" max="9711" width="6.28515625" style="241" customWidth="1"/>
    <col min="9712" max="9722" width="2.7109375" style="241" customWidth="1"/>
    <col min="9723" max="9723" width="25.42578125" style="241" customWidth="1"/>
    <col min="9724" max="9724" width="17.85546875" style="241" customWidth="1"/>
    <col min="9725" max="9725" width="15.85546875" style="241" customWidth="1"/>
    <col min="9726" max="9726" width="14.7109375" style="241" customWidth="1"/>
    <col min="9727" max="9727" width="15.85546875" style="241" customWidth="1"/>
    <col min="9728" max="9728" width="15" style="241" customWidth="1"/>
    <col min="9729" max="9729" width="18.140625" style="241" customWidth="1"/>
    <col min="9730" max="9730" width="22.42578125" style="241" customWidth="1"/>
    <col min="9731" max="9731" width="23.7109375" style="241" customWidth="1"/>
    <col min="9732" max="9732" width="14" style="241" customWidth="1"/>
    <col min="9733" max="9733" width="15" style="241" customWidth="1"/>
    <col min="9734" max="9734" width="21.28515625" style="241" customWidth="1"/>
    <col min="9735" max="9735" width="15.85546875" style="241" customWidth="1"/>
    <col min="9736" max="9736" width="18.28515625" style="241" customWidth="1"/>
    <col min="9737" max="9737" width="16.28515625" style="241" customWidth="1"/>
    <col min="9738" max="9942" width="11.42578125" style="241"/>
    <col min="9943" max="9954" width="2.7109375" style="241" customWidth="1"/>
    <col min="9955" max="9956" width="6.140625" style="241" customWidth="1"/>
    <col min="9957" max="9965" width="2.7109375" style="241" customWidth="1"/>
    <col min="9966" max="9966" width="14.7109375" style="241" customWidth="1"/>
    <col min="9967" max="9967" width="6.28515625" style="241" customWidth="1"/>
    <col min="9968" max="9978" width="2.7109375" style="241" customWidth="1"/>
    <col min="9979" max="9979" width="25.42578125" style="241" customWidth="1"/>
    <col min="9980" max="9980" width="17.85546875" style="241" customWidth="1"/>
    <col min="9981" max="9981" width="15.85546875" style="241" customWidth="1"/>
    <col min="9982" max="9982" width="14.7109375" style="241" customWidth="1"/>
    <col min="9983" max="9983" width="15.85546875" style="241" customWidth="1"/>
    <col min="9984" max="9984" width="15" style="241" customWidth="1"/>
    <col min="9985" max="9985" width="18.140625" style="241" customWidth="1"/>
    <col min="9986" max="9986" width="22.42578125" style="241" customWidth="1"/>
    <col min="9987" max="9987" width="23.7109375" style="241" customWidth="1"/>
    <col min="9988" max="9988" width="14" style="241" customWidth="1"/>
    <col min="9989" max="9989" width="15" style="241" customWidth="1"/>
    <col min="9990" max="9990" width="21.28515625" style="241" customWidth="1"/>
    <col min="9991" max="9991" width="15.85546875" style="241" customWidth="1"/>
    <col min="9992" max="9992" width="18.28515625" style="241" customWidth="1"/>
    <col min="9993" max="9993" width="16.28515625" style="241" customWidth="1"/>
    <col min="9994" max="10198" width="11.42578125" style="241"/>
    <col min="10199" max="10210" width="2.7109375" style="241" customWidth="1"/>
    <col min="10211" max="10212" width="6.140625" style="241" customWidth="1"/>
    <col min="10213" max="10221" width="2.7109375" style="241" customWidth="1"/>
    <col min="10222" max="10222" width="14.7109375" style="241" customWidth="1"/>
    <col min="10223" max="10223" width="6.28515625" style="241" customWidth="1"/>
    <col min="10224" max="10234" width="2.7109375" style="241" customWidth="1"/>
    <col min="10235" max="10235" width="25.42578125" style="241" customWidth="1"/>
    <col min="10236" max="10236" width="17.85546875" style="241" customWidth="1"/>
    <col min="10237" max="10237" width="15.85546875" style="241" customWidth="1"/>
    <col min="10238" max="10238" width="14.7109375" style="241" customWidth="1"/>
    <col min="10239" max="10239" width="15.85546875" style="241" customWidth="1"/>
    <col min="10240" max="10240" width="15" style="241" customWidth="1"/>
    <col min="10241" max="10241" width="18.140625" style="241" customWidth="1"/>
    <col min="10242" max="10242" width="22.42578125" style="241" customWidth="1"/>
    <col min="10243" max="10243" width="23.7109375" style="241" customWidth="1"/>
    <col min="10244" max="10244" width="14" style="241" customWidth="1"/>
    <col min="10245" max="10245" width="15" style="241" customWidth="1"/>
    <col min="10246" max="10246" width="21.28515625" style="241" customWidth="1"/>
    <col min="10247" max="10247" width="15.85546875" style="241" customWidth="1"/>
    <col min="10248" max="10248" width="18.28515625" style="241" customWidth="1"/>
    <col min="10249" max="10249" width="16.28515625" style="241" customWidth="1"/>
    <col min="10250" max="10454" width="11.42578125" style="241"/>
    <col min="10455" max="10466" width="2.7109375" style="241" customWidth="1"/>
    <col min="10467" max="10468" width="6.140625" style="241" customWidth="1"/>
    <col min="10469" max="10477" width="2.7109375" style="241" customWidth="1"/>
    <col min="10478" max="10478" width="14.7109375" style="241" customWidth="1"/>
    <col min="10479" max="10479" width="6.28515625" style="241" customWidth="1"/>
    <col min="10480" max="10490" width="2.7109375" style="241" customWidth="1"/>
    <col min="10491" max="10491" width="25.42578125" style="241" customWidth="1"/>
    <col min="10492" max="10492" width="17.85546875" style="241" customWidth="1"/>
    <col min="10493" max="10493" width="15.85546875" style="241" customWidth="1"/>
    <col min="10494" max="10494" width="14.7109375" style="241" customWidth="1"/>
    <col min="10495" max="10495" width="15.85546875" style="241" customWidth="1"/>
    <col min="10496" max="10496" width="15" style="241" customWidth="1"/>
    <col min="10497" max="10497" width="18.140625" style="241" customWidth="1"/>
    <col min="10498" max="10498" width="22.42578125" style="241" customWidth="1"/>
    <col min="10499" max="10499" width="23.7109375" style="241" customWidth="1"/>
    <col min="10500" max="10500" width="14" style="241" customWidth="1"/>
    <col min="10501" max="10501" width="15" style="241" customWidth="1"/>
    <col min="10502" max="10502" width="21.28515625" style="241" customWidth="1"/>
    <col min="10503" max="10503" width="15.85546875" style="241" customWidth="1"/>
    <col min="10504" max="10504" width="18.28515625" style="241" customWidth="1"/>
    <col min="10505" max="10505" width="16.28515625" style="241" customWidth="1"/>
    <col min="10506" max="10710" width="11.42578125" style="241"/>
    <col min="10711" max="10722" width="2.7109375" style="241" customWidth="1"/>
    <col min="10723" max="10724" width="6.140625" style="241" customWidth="1"/>
    <col min="10725" max="10733" width="2.7109375" style="241" customWidth="1"/>
    <col min="10734" max="10734" width="14.7109375" style="241" customWidth="1"/>
    <col min="10735" max="10735" width="6.28515625" style="241" customWidth="1"/>
    <col min="10736" max="10746" width="2.7109375" style="241" customWidth="1"/>
    <col min="10747" max="10747" width="25.42578125" style="241" customWidth="1"/>
    <col min="10748" max="10748" width="17.85546875" style="241" customWidth="1"/>
    <col min="10749" max="10749" width="15.85546875" style="241" customWidth="1"/>
    <col min="10750" max="10750" width="14.7109375" style="241" customWidth="1"/>
    <col min="10751" max="10751" width="15.85546875" style="241" customWidth="1"/>
    <col min="10752" max="10752" width="15" style="241" customWidth="1"/>
    <col min="10753" max="10753" width="18.140625" style="241" customWidth="1"/>
    <col min="10754" max="10754" width="22.42578125" style="241" customWidth="1"/>
    <col min="10755" max="10755" width="23.7109375" style="241" customWidth="1"/>
    <col min="10756" max="10756" width="14" style="241" customWidth="1"/>
    <col min="10757" max="10757" width="15" style="241" customWidth="1"/>
    <col min="10758" max="10758" width="21.28515625" style="241" customWidth="1"/>
    <col min="10759" max="10759" width="15.85546875" style="241" customWidth="1"/>
    <col min="10760" max="10760" width="18.28515625" style="241" customWidth="1"/>
    <col min="10761" max="10761" width="16.28515625" style="241" customWidth="1"/>
    <col min="10762" max="10966" width="11.42578125" style="241"/>
    <col min="10967" max="10978" width="2.7109375" style="241" customWidth="1"/>
    <col min="10979" max="10980" width="6.140625" style="241" customWidth="1"/>
    <col min="10981" max="10989" width="2.7109375" style="241" customWidth="1"/>
    <col min="10990" max="10990" width="14.7109375" style="241" customWidth="1"/>
    <col min="10991" max="10991" width="6.28515625" style="241" customWidth="1"/>
    <col min="10992" max="11002" width="2.7109375" style="241" customWidth="1"/>
    <col min="11003" max="11003" width="25.42578125" style="241" customWidth="1"/>
    <col min="11004" max="11004" width="17.85546875" style="241" customWidth="1"/>
    <col min="11005" max="11005" width="15.85546875" style="241" customWidth="1"/>
    <col min="11006" max="11006" width="14.7109375" style="241" customWidth="1"/>
    <col min="11007" max="11007" width="15.85546875" style="241" customWidth="1"/>
    <col min="11008" max="11008" width="15" style="241" customWidth="1"/>
    <col min="11009" max="11009" width="18.140625" style="241" customWidth="1"/>
    <col min="11010" max="11010" width="22.42578125" style="241" customWidth="1"/>
    <col min="11011" max="11011" width="23.7109375" style="241" customWidth="1"/>
    <col min="11012" max="11012" width="14" style="241" customWidth="1"/>
    <col min="11013" max="11013" width="15" style="241" customWidth="1"/>
    <col min="11014" max="11014" width="21.28515625" style="241" customWidth="1"/>
    <col min="11015" max="11015" width="15.85546875" style="241" customWidth="1"/>
    <col min="11016" max="11016" width="18.28515625" style="241" customWidth="1"/>
    <col min="11017" max="11017" width="16.28515625" style="241" customWidth="1"/>
    <col min="11018" max="11222" width="11.42578125" style="241"/>
    <col min="11223" max="11234" width="2.7109375" style="241" customWidth="1"/>
    <col min="11235" max="11236" width="6.140625" style="241" customWidth="1"/>
    <col min="11237" max="11245" width="2.7109375" style="241" customWidth="1"/>
    <col min="11246" max="11246" width="14.7109375" style="241" customWidth="1"/>
    <col min="11247" max="11247" width="6.28515625" style="241" customWidth="1"/>
    <col min="11248" max="11258" width="2.7109375" style="241" customWidth="1"/>
    <col min="11259" max="11259" width="25.42578125" style="241" customWidth="1"/>
    <col min="11260" max="11260" width="17.85546875" style="241" customWidth="1"/>
    <col min="11261" max="11261" width="15.85546875" style="241" customWidth="1"/>
    <col min="11262" max="11262" width="14.7109375" style="241" customWidth="1"/>
    <col min="11263" max="11263" width="15.85546875" style="241" customWidth="1"/>
    <col min="11264" max="11264" width="15" style="241" customWidth="1"/>
    <col min="11265" max="11265" width="18.140625" style="241" customWidth="1"/>
    <col min="11266" max="11266" width="22.42578125" style="241" customWidth="1"/>
    <col min="11267" max="11267" width="23.7109375" style="241" customWidth="1"/>
    <col min="11268" max="11268" width="14" style="241" customWidth="1"/>
    <col min="11269" max="11269" width="15" style="241" customWidth="1"/>
    <col min="11270" max="11270" width="21.28515625" style="241" customWidth="1"/>
    <col min="11271" max="11271" width="15.85546875" style="241" customWidth="1"/>
    <col min="11272" max="11272" width="18.28515625" style="241" customWidth="1"/>
    <col min="11273" max="11273" width="16.28515625" style="241" customWidth="1"/>
    <col min="11274" max="11478" width="11.42578125" style="241"/>
    <col min="11479" max="11490" width="2.7109375" style="241" customWidth="1"/>
    <col min="11491" max="11492" width="6.140625" style="241" customWidth="1"/>
    <col min="11493" max="11501" width="2.7109375" style="241" customWidth="1"/>
    <col min="11502" max="11502" width="14.7109375" style="241" customWidth="1"/>
    <col min="11503" max="11503" width="6.28515625" style="241" customWidth="1"/>
    <col min="11504" max="11514" width="2.7109375" style="241" customWidth="1"/>
    <col min="11515" max="11515" width="25.42578125" style="241" customWidth="1"/>
    <col min="11516" max="11516" width="17.85546875" style="241" customWidth="1"/>
    <col min="11517" max="11517" width="15.85546875" style="241" customWidth="1"/>
    <col min="11518" max="11518" width="14.7109375" style="241" customWidth="1"/>
    <col min="11519" max="11519" width="15.85546875" style="241" customWidth="1"/>
    <col min="11520" max="11520" width="15" style="241" customWidth="1"/>
    <col min="11521" max="11521" width="18.140625" style="241" customWidth="1"/>
    <col min="11522" max="11522" width="22.42578125" style="241" customWidth="1"/>
    <col min="11523" max="11523" width="23.7109375" style="241" customWidth="1"/>
    <col min="11524" max="11524" width="14" style="241" customWidth="1"/>
    <col min="11525" max="11525" width="15" style="241" customWidth="1"/>
    <col min="11526" max="11526" width="21.28515625" style="241" customWidth="1"/>
    <col min="11527" max="11527" width="15.85546875" style="241" customWidth="1"/>
    <col min="11528" max="11528" width="18.28515625" style="241" customWidth="1"/>
    <col min="11529" max="11529" width="16.28515625" style="241" customWidth="1"/>
    <col min="11530" max="11734" width="11.42578125" style="241"/>
    <col min="11735" max="11746" width="2.7109375" style="241" customWidth="1"/>
    <col min="11747" max="11748" width="6.140625" style="241" customWidth="1"/>
    <col min="11749" max="11757" width="2.7109375" style="241" customWidth="1"/>
    <col min="11758" max="11758" width="14.7109375" style="241" customWidth="1"/>
    <col min="11759" max="11759" width="6.28515625" style="241" customWidth="1"/>
    <col min="11760" max="11770" width="2.7109375" style="241" customWidth="1"/>
    <col min="11771" max="11771" width="25.42578125" style="241" customWidth="1"/>
    <col min="11772" max="11772" width="17.85546875" style="241" customWidth="1"/>
    <col min="11773" max="11773" width="15.85546875" style="241" customWidth="1"/>
    <col min="11774" max="11774" width="14.7109375" style="241" customWidth="1"/>
    <col min="11775" max="11775" width="15.85546875" style="241" customWidth="1"/>
    <col min="11776" max="11776" width="15" style="241" customWidth="1"/>
    <col min="11777" max="11777" width="18.140625" style="241" customWidth="1"/>
    <col min="11778" max="11778" width="22.42578125" style="241" customWidth="1"/>
    <col min="11779" max="11779" width="23.7109375" style="241" customWidth="1"/>
    <col min="11780" max="11780" width="14" style="241" customWidth="1"/>
    <col min="11781" max="11781" width="15" style="241" customWidth="1"/>
    <col min="11782" max="11782" width="21.28515625" style="241" customWidth="1"/>
    <col min="11783" max="11783" width="15.85546875" style="241" customWidth="1"/>
    <col min="11784" max="11784" width="18.28515625" style="241" customWidth="1"/>
    <col min="11785" max="11785" width="16.28515625" style="241" customWidth="1"/>
    <col min="11786" max="11990" width="11.42578125" style="241"/>
    <col min="11991" max="12002" width="2.7109375" style="241" customWidth="1"/>
    <col min="12003" max="12004" width="6.140625" style="241" customWidth="1"/>
    <col min="12005" max="12013" width="2.7109375" style="241" customWidth="1"/>
    <col min="12014" max="12014" width="14.7109375" style="241" customWidth="1"/>
    <col min="12015" max="12015" width="6.28515625" style="241" customWidth="1"/>
    <col min="12016" max="12026" width="2.7109375" style="241" customWidth="1"/>
    <col min="12027" max="12027" width="25.42578125" style="241" customWidth="1"/>
    <col min="12028" max="12028" width="17.85546875" style="241" customWidth="1"/>
    <col min="12029" max="12029" width="15.85546875" style="241" customWidth="1"/>
    <col min="12030" max="12030" width="14.7109375" style="241" customWidth="1"/>
    <col min="12031" max="12031" width="15.85546875" style="241" customWidth="1"/>
    <col min="12032" max="12032" width="15" style="241" customWidth="1"/>
    <col min="12033" max="12033" width="18.140625" style="241" customWidth="1"/>
    <col min="12034" max="12034" width="22.42578125" style="241" customWidth="1"/>
    <col min="12035" max="12035" width="23.7109375" style="241" customWidth="1"/>
    <col min="12036" max="12036" width="14" style="241" customWidth="1"/>
    <col min="12037" max="12037" width="15" style="241" customWidth="1"/>
    <col min="12038" max="12038" width="21.28515625" style="241" customWidth="1"/>
    <col min="12039" max="12039" width="15.85546875" style="241" customWidth="1"/>
    <col min="12040" max="12040" width="18.28515625" style="241" customWidth="1"/>
    <col min="12041" max="12041" width="16.28515625" style="241" customWidth="1"/>
    <col min="12042" max="12246" width="11.42578125" style="241"/>
    <col min="12247" max="12258" width="2.7109375" style="241" customWidth="1"/>
    <col min="12259" max="12260" width="6.140625" style="241" customWidth="1"/>
    <col min="12261" max="12269" width="2.7109375" style="241" customWidth="1"/>
    <col min="12270" max="12270" width="14.7109375" style="241" customWidth="1"/>
    <col min="12271" max="12271" width="6.28515625" style="241" customWidth="1"/>
    <col min="12272" max="12282" width="2.7109375" style="241" customWidth="1"/>
    <col min="12283" max="12283" width="25.42578125" style="241" customWidth="1"/>
    <col min="12284" max="12284" width="17.85546875" style="241" customWidth="1"/>
    <col min="12285" max="12285" width="15.85546875" style="241" customWidth="1"/>
    <col min="12286" max="12286" width="14.7109375" style="241" customWidth="1"/>
    <col min="12287" max="12287" width="15.85546875" style="241" customWidth="1"/>
    <col min="12288" max="12288" width="15" style="241" customWidth="1"/>
    <col min="12289" max="12289" width="18.140625" style="241" customWidth="1"/>
    <col min="12290" max="12290" width="22.42578125" style="241" customWidth="1"/>
    <col min="12291" max="12291" width="23.7109375" style="241" customWidth="1"/>
    <col min="12292" max="12292" width="14" style="241" customWidth="1"/>
    <col min="12293" max="12293" width="15" style="241" customWidth="1"/>
    <col min="12294" max="12294" width="21.28515625" style="241" customWidth="1"/>
    <col min="12295" max="12295" width="15.85546875" style="241" customWidth="1"/>
    <col min="12296" max="12296" width="18.28515625" style="241" customWidth="1"/>
    <col min="12297" max="12297" width="16.28515625" style="241" customWidth="1"/>
    <col min="12298" max="12502" width="11.42578125" style="241"/>
    <col min="12503" max="12514" width="2.7109375" style="241" customWidth="1"/>
    <col min="12515" max="12516" width="6.140625" style="241" customWidth="1"/>
    <col min="12517" max="12525" width="2.7109375" style="241" customWidth="1"/>
    <col min="12526" max="12526" width="14.7109375" style="241" customWidth="1"/>
    <col min="12527" max="12527" width="6.28515625" style="241" customWidth="1"/>
    <col min="12528" max="12538" width="2.7109375" style="241" customWidth="1"/>
    <col min="12539" max="12539" width="25.42578125" style="241" customWidth="1"/>
    <col min="12540" max="12540" width="17.85546875" style="241" customWidth="1"/>
    <col min="12541" max="12541" width="15.85546875" style="241" customWidth="1"/>
    <col min="12542" max="12542" width="14.7109375" style="241" customWidth="1"/>
    <col min="12543" max="12543" width="15.85546875" style="241" customWidth="1"/>
    <col min="12544" max="12544" width="15" style="241" customWidth="1"/>
    <col min="12545" max="12545" width="18.140625" style="241" customWidth="1"/>
    <col min="12546" max="12546" width="22.42578125" style="241" customWidth="1"/>
    <col min="12547" max="12547" width="23.7109375" style="241" customWidth="1"/>
    <col min="12548" max="12548" width="14" style="241" customWidth="1"/>
    <col min="12549" max="12549" width="15" style="241" customWidth="1"/>
    <col min="12550" max="12550" width="21.28515625" style="241" customWidth="1"/>
    <col min="12551" max="12551" width="15.85546875" style="241" customWidth="1"/>
    <col min="12552" max="12552" width="18.28515625" style="241" customWidth="1"/>
    <col min="12553" max="12553" width="16.28515625" style="241" customWidth="1"/>
    <col min="12554" max="12758" width="11.42578125" style="241"/>
    <col min="12759" max="12770" width="2.7109375" style="241" customWidth="1"/>
    <col min="12771" max="12772" width="6.140625" style="241" customWidth="1"/>
    <col min="12773" max="12781" width="2.7109375" style="241" customWidth="1"/>
    <col min="12782" max="12782" width="14.7109375" style="241" customWidth="1"/>
    <col min="12783" max="12783" width="6.28515625" style="241" customWidth="1"/>
    <col min="12784" max="12794" width="2.7109375" style="241" customWidth="1"/>
    <col min="12795" max="12795" width="25.42578125" style="241" customWidth="1"/>
    <col min="12796" max="12796" width="17.85546875" style="241" customWidth="1"/>
    <col min="12797" max="12797" width="15.85546875" style="241" customWidth="1"/>
    <col min="12798" max="12798" width="14.7109375" style="241" customWidth="1"/>
    <col min="12799" max="12799" width="15.85546875" style="241" customWidth="1"/>
    <col min="12800" max="12800" width="15" style="241" customWidth="1"/>
    <col min="12801" max="12801" width="18.140625" style="241" customWidth="1"/>
    <col min="12802" max="12802" width="22.42578125" style="241" customWidth="1"/>
    <col min="12803" max="12803" width="23.7109375" style="241" customWidth="1"/>
    <col min="12804" max="12804" width="14" style="241" customWidth="1"/>
    <col min="12805" max="12805" width="15" style="241" customWidth="1"/>
    <col min="12806" max="12806" width="21.28515625" style="241" customWidth="1"/>
    <col min="12807" max="12807" width="15.85546875" style="241" customWidth="1"/>
    <col min="12808" max="12808" width="18.28515625" style="241" customWidth="1"/>
    <col min="12809" max="12809" width="16.28515625" style="241" customWidth="1"/>
    <col min="12810" max="13014" width="11.42578125" style="241"/>
    <col min="13015" max="13026" width="2.7109375" style="241" customWidth="1"/>
    <col min="13027" max="13028" width="6.140625" style="241" customWidth="1"/>
    <col min="13029" max="13037" width="2.7109375" style="241" customWidth="1"/>
    <col min="13038" max="13038" width="14.7109375" style="241" customWidth="1"/>
    <col min="13039" max="13039" width="6.28515625" style="241" customWidth="1"/>
    <col min="13040" max="13050" width="2.7109375" style="241" customWidth="1"/>
    <col min="13051" max="13051" width="25.42578125" style="241" customWidth="1"/>
    <col min="13052" max="13052" width="17.85546875" style="241" customWidth="1"/>
    <col min="13053" max="13053" width="15.85546875" style="241" customWidth="1"/>
    <col min="13054" max="13054" width="14.7109375" style="241" customWidth="1"/>
    <col min="13055" max="13055" width="15.85546875" style="241" customWidth="1"/>
    <col min="13056" max="13056" width="15" style="241" customWidth="1"/>
    <col min="13057" max="13057" width="18.140625" style="241" customWidth="1"/>
    <col min="13058" max="13058" width="22.42578125" style="241" customWidth="1"/>
    <col min="13059" max="13059" width="23.7109375" style="241" customWidth="1"/>
    <col min="13060" max="13060" width="14" style="241" customWidth="1"/>
    <col min="13061" max="13061" width="15" style="241" customWidth="1"/>
    <col min="13062" max="13062" width="21.28515625" style="241" customWidth="1"/>
    <col min="13063" max="13063" width="15.85546875" style="241" customWidth="1"/>
    <col min="13064" max="13064" width="18.28515625" style="241" customWidth="1"/>
    <col min="13065" max="13065" width="16.28515625" style="241" customWidth="1"/>
    <col min="13066" max="13270" width="11.42578125" style="241"/>
    <col min="13271" max="13282" width="2.7109375" style="241" customWidth="1"/>
    <col min="13283" max="13284" width="6.140625" style="241" customWidth="1"/>
    <col min="13285" max="13293" width="2.7109375" style="241" customWidth="1"/>
    <col min="13294" max="13294" width="14.7109375" style="241" customWidth="1"/>
    <col min="13295" max="13295" width="6.28515625" style="241" customWidth="1"/>
    <col min="13296" max="13306" width="2.7109375" style="241" customWidth="1"/>
    <col min="13307" max="13307" width="25.42578125" style="241" customWidth="1"/>
    <col min="13308" max="13308" width="17.85546875" style="241" customWidth="1"/>
    <col min="13309" max="13309" width="15.85546875" style="241" customWidth="1"/>
    <col min="13310" max="13310" width="14.7109375" style="241" customWidth="1"/>
    <col min="13311" max="13311" width="15.85546875" style="241" customWidth="1"/>
    <col min="13312" max="13312" width="15" style="241" customWidth="1"/>
    <col min="13313" max="13313" width="18.140625" style="241" customWidth="1"/>
    <col min="13314" max="13314" width="22.42578125" style="241" customWidth="1"/>
    <col min="13315" max="13315" width="23.7109375" style="241" customWidth="1"/>
    <col min="13316" max="13316" width="14" style="241" customWidth="1"/>
    <col min="13317" max="13317" width="15" style="241" customWidth="1"/>
    <col min="13318" max="13318" width="21.28515625" style="241" customWidth="1"/>
    <col min="13319" max="13319" width="15.85546875" style="241" customWidth="1"/>
    <col min="13320" max="13320" width="18.28515625" style="241" customWidth="1"/>
    <col min="13321" max="13321" width="16.28515625" style="241" customWidth="1"/>
    <col min="13322" max="13526" width="11.42578125" style="241"/>
    <col min="13527" max="13538" width="2.7109375" style="241" customWidth="1"/>
    <col min="13539" max="13540" width="6.140625" style="241" customWidth="1"/>
    <col min="13541" max="13549" width="2.7109375" style="241" customWidth="1"/>
    <col min="13550" max="13550" width="14.7109375" style="241" customWidth="1"/>
    <col min="13551" max="13551" width="6.28515625" style="241" customWidth="1"/>
    <col min="13552" max="13562" width="2.7109375" style="241" customWidth="1"/>
    <col min="13563" max="13563" width="25.42578125" style="241" customWidth="1"/>
    <col min="13564" max="13564" width="17.85546875" style="241" customWidth="1"/>
    <col min="13565" max="13565" width="15.85546875" style="241" customWidth="1"/>
    <col min="13566" max="13566" width="14.7109375" style="241" customWidth="1"/>
    <col min="13567" max="13567" width="15.85546875" style="241" customWidth="1"/>
    <col min="13568" max="13568" width="15" style="241" customWidth="1"/>
    <col min="13569" max="13569" width="18.140625" style="241" customWidth="1"/>
    <col min="13570" max="13570" width="22.42578125" style="241" customWidth="1"/>
    <col min="13571" max="13571" width="23.7109375" style="241" customWidth="1"/>
    <col min="13572" max="13572" width="14" style="241" customWidth="1"/>
    <col min="13573" max="13573" width="15" style="241" customWidth="1"/>
    <col min="13574" max="13574" width="21.28515625" style="241" customWidth="1"/>
    <col min="13575" max="13575" width="15.85546875" style="241" customWidth="1"/>
    <col min="13576" max="13576" width="18.28515625" style="241" customWidth="1"/>
    <col min="13577" max="13577" width="16.28515625" style="241" customWidth="1"/>
    <col min="13578" max="13782" width="11.42578125" style="241"/>
    <col min="13783" max="13794" width="2.7109375" style="241" customWidth="1"/>
    <col min="13795" max="13796" width="6.140625" style="241" customWidth="1"/>
    <col min="13797" max="13805" width="2.7109375" style="241" customWidth="1"/>
    <col min="13806" max="13806" width="14.7109375" style="241" customWidth="1"/>
    <col min="13807" max="13807" width="6.28515625" style="241" customWidth="1"/>
    <col min="13808" max="13818" width="2.7109375" style="241" customWidth="1"/>
    <col min="13819" max="13819" width="25.42578125" style="241" customWidth="1"/>
    <col min="13820" max="13820" width="17.85546875" style="241" customWidth="1"/>
    <col min="13821" max="13821" width="15.85546875" style="241" customWidth="1"/>
    <col min="13822" max="13822" width="14.7109375" style="241" customWidth="1"/>
    <col min="13823" max="13823" width="15.85546875" style="241" customWidth="1"/>
    <col min="13824" max="13824" width="15" style="241" customWidth="1"/>
    <col min="13825" max="13825" width="18.140625" style="241" customWidth="1"/>
    <col min="13826" max="13826" width="22.42578125" style="241" customWidth="1"/>
    <col min="13827" max="13827" width="23.7109375" style="241" customWidth="1"/>
    <col min="13828" max="13828" width="14" style="241" customWidth="1"/>
    <col min="13829" max="13829" width="15" style="241" customWidth="1"/>
    <col min="13830" max="13830" width="21.28515625" style="241" customWidth="1"/>
    <col min="13831" max="13831" width="15.85546875" style="241" customWidth="1"/>
    <col min="13832" max="13832" width="18.28515625" style="241" customWidth="1"/>
    <col min="13833" max="13833" width="16.28515625" style="241" customWidth="1"/>
    <col min="13834" max="14038" width="11.42578125" style="241"/>
    <col min="14039" max="14050" width="2.7109375" style="241" customWidth="1"/>
    <col min="14051" max="14052" width="6.140625" style="241" customWidth="1"/>
    <col min="14053" max="14061" width="2.7109375" style="241" customWidth="1"/>
    <col min="14062" max="14062" width="14.7109375" style="241" customWidth="1"/>
    <col min="14063" max="14063" width="6.28515625" style="241" customWidth="1"/>
    <col min="14064" max="14074" width="2.7109375" style="241" customWidth="1"/>
    <col min="14075" max="14075" width="25.42578125" style="241" customWidth="1"/>
    <col min="14076" max="14076" width="17.85546875" style="241" customWidth="1"/>
    <col min="14077" max="14077" width="15.85546875" style="241" customWidth="1"/>
    <col min="14078" max="14078" width="14.7109375" style="241" customWidth="1"/>
    <col min="14079" max="14079" width="15.85546875" style="241" customWidth="1"/>
    <col min="14080" max="14080" width="15" style="241" customWidth="1"/>
    <col min="14081" max="14081" width="18.140625" style="241" customWidth="1"/>
    <col min="14082" max="14082" width="22.42578125" style="241" customWidth="1"/>
    <col min="14083" max="14083" width="23.7109375" style="241" customWidth="1"/>
    <col min="14084" max="14084" width="14" style="241" customWidth="1"/>
    <col min="14085" max="14085" width="15" style="241" customWidth="1"/>
    <col min="14086" max="14086" width="21.28515625" style="241" customWidth="1"/>
    <col min="14087" max="14087" width="15.85546875" style="241" customWidth="1"/>
    <col min="14088" max="14088" width="18.28515625" style="241" customWidth="1"/>
    <col min="14089" max="14089" width="16.28515625" style="241" customWidth="1"/>
    <col min="14090" max="14294" width="11.42578125" style="241"/>
    <col min="14295" max="14306" width="2.7109375" style="241" customWidth="1"/>
    <col min="14307" max="14308" width="6.140625" style="241" customWidth="1"/>
    <col min="14309" max="14317" width="2.7109375" style="241" customWidth="1"/>
    <col min="14318" max="14318" width="14.7109375" style="241" customWidth="1"/>
    <col min="14319" max="14319" width="6.28515625" style="241" customWidth="1"/>
    <col min="14320" max="14330" width="2.7109375" style="241" customWidth="1"/>
    <col min="14331" max="14331" width="25.42578125" style="241" customWidth="1"/>
    <col min="14332" max="14332" width="17.85546875" style="241" customWidth="1"/>
    <col min="14333" max="14333" width="15.85546875" style="241" customWidth="1"/>
    <col min="14334" max="14334" width="14.7109375" style="241" customWidth="1"/>
    <col min="14335" max="14335" width="15.85546875" style="241" customWidth="1"/>
    <col min="14336" max="14336" width="15" style="241" customWidth="1"/>
    <col min="14337" max="14337" width="18.140625" style="241" customWidth="1"/>
    <col min="14338" max="14338" width="22.42578125" style="241" customWidth="1"/>
    <col min="14339" max="14339" width="23.7109375" style="241" customWidth="1"/>
    <col min="14340" max="14340" width="14" style="241" customWidth="1"/>
    <col min="14341" max="14341" width="15" style="241" customWidth="1"/>
    <col min="14342" max="14342" width="21.28515625" style="241" customWidth="1"/>
    <col min="14343" max="14343" width="15.85546875" style="241" customWidth="1"/>
    <col min="14344" max="14344" width="18.28515625" style="241" customWidth="1"/>
    <col min="14345" max="14345" width="16.28515625" style="241" customWidth="1"/>
    <col min="14346" max="14550" width="11.42578125" style="241"/>
    <col min="14551" max="14562" width="2.7109375" style="241" customWidth="1"/>
    <col min="14563" max="14564" width="6.140625" style="241" customWidth="1"/>
    <col min="14565" max="14573" width="2.7109375" style="241" customWidth="1"/>
    <col min="14574" max="14574" width="14.7109375" style="241" customWidth="1"/>
    <col min="14575" max="14575" width="6.28515625" style="241" customWidth="1"/>
    <col min="14576" max="14586" width="2.7109375" style="241" customWidth="1"/>
    <col min="14587" max="14587" width="25.42578125" style="241" customWidth="1"/>
    <col min="14588" max="14588" width="17.85546875" style="241" customWidth="1"/>
    <col min="14589" max="14589" width="15.85546875" style="241" customWidth="1"/>
    <col min="14590" max="14590" width="14.7109375" style="241" customWidth="1"/>
    <col min="14591" max="14591" width="15.85546875" style="241" customWidth="1"/>
    <col min="14592" max="14592" width="15" style="241" customWidth="1"/>
    <col min="14593" max="14593" width="18.140625" style="241" customWidth="1"/>
    <col min="14594" max="14594" width="22.42578125" style="241" customWidth="1"/>
    <col min="14595" max="14595" width="23.7109375" style="241" customWidth="1"/>
    <col min="14596" max="14596" width="14" style="241" customWidth="1"/>
    <col min="14597" max="14597" width="15" style="241" customWidth="1"/>
    <col min="14598" max="14598" width="21.28515625" style="241" customWidth="1"/>
    <col min="14599" max="14599" width="15.85546875" style="241" customWidth="1"/>
    <col min="14600" max="14600" width="18.28515625" style="241" customWidth="1"/>
    <col min="14601" max="14601" width="16.28515625" style="241" customWidth="1"/>
    <col min="14602" max="14806" width="11.42578125" style="241"/>
    <col min="14807" max="14818" width="2.7109375" style="241" customWidth="1"/>
    <col min="14819" max="14820" width="6.140625" style="241" customWidth="1"/>
    <col min="14821" max="14829" width="2.7109375" style="241" customWidth="1"/>
    <col min="14830" max="14830" width="14.7109375" style="241" customWidth="1"/>
    <col min="14831" max="14831" width="6.28515625" style="241" customWidth="1"/>
    <col min="14832" max="14842" width="2.7109375" style="241" customWidth="1"/>
    <col min="14843" max="14843" width="25.42578125" style="241" customWidth="1"/>
    <col min="14844" max="14844" width="17.85546875" style="241" customWidth="1"/>
    <col min="14845" max="14845" width="15.85546875" style="241" customWidth="1"/>
    <col min="14846" max="14846" width="14.7109375" style="241" customWidth="1"/>
    <col min="14847" max="14847" width="15.85546875" style="241" customWidth="1"/>
    <col min="14848" max="14848" width="15" style="241" customWidth="1"/>
    <col min="14849" max="14849" width="18.140625" style="241" customWidth="1"/>
    <col min="14850" max="14850" width="22.42578125" style="241" customWidth="1"/>
    <col min="14851" max="14851" width="23.7109375" style="241" customWidth="1"/>
    <col min="14852" max="14852" width="14" style="241" customWidth="1"/>
    <col min="14853" max="14853" width="15" style="241" customWidth="1"/>
    <col min="14854" max="14854" width="21.28515625" style="241" customWidth="1"/>
    <col min="14855" max="14855" width="15.85546875" style="241" customWidth="1"/>
    <col min="14856" max="14856" width="18.28515625" style="241" customWidth="1"/>
    <col min="14857" max="14857" width="16.28515625" style="241" customWidth="1"/>
    <col min="14858" max="15062" width="11.42578125" style="241"/>
    <col min="15063" max="15074" width="2.7109375" style="241" customWidth="1"/>
    <col min="15075" max="15076" width="6.140625" style="241" customWidth="1"/>
    <col min="15077" max="15085" width="2.7109375" style="241" customWidth="1"/>
    <col min="15086" max="15086" width="14.7109375" style="241" customWidth="1"/>
    <col min="15087" max="15087" width="6.28515625" style="241" customWidth="1"/>
    <col min="15088" max="15098" width="2.7109375" style="241" customWidth="1"/>
    <col min="15099" max="15099" width="25.42578125" style="241" customWidth="1"/>
    <col min="15100" max="15100" width="17.85546875" style="241" customWidth="1"/>
    <col min="15101" max="15101" width="15.85546875" style="241" customWidth="1"/>
    <col min="15102" max="15102" width="14.7109375" style="241" customWidth="1"/>
    <col min="15103" max="15103" width="15.85546875" style="241" customWidth="1"/>
    <col min="15104" max="15104" width="15" style="241" customWidth="1"/>
    <col min="15105" max="15105" width="18.140625" style="241" customWidth="1"/>
    <col min="15106" max="15106" width="22.42578125" style="241" customWidth="1"/>
    <col min="15107" max="15107" width="23.7109375" style="241" customWidth="1"/>
    <col min="15108" max="15108" width="14" style="241" customWidth="1"/>
    <col min="15109" max="15109" width="15" style="241" customWidth="1"/>
    <col min="15110" max="15110" width="21.28515625" style="241" customWidth="1"/>
    <col min="15111" max="15111" width="15.85546875" style="241" customWidth="1"/>
    <col min="15112" max="15112" width="18.28515625" style="241" customWidth="1"/>
    <col min="15113" max="15113" width="16.28515625" style="241" customWidth="1"/>
    <col min="15114" max="15318" width="11.42578125" style="241"/>
    <col min="15319" max="15330" width="2.7109375" style="241" customWidth="1"/>
    <col min="15331" max="15332" width="6.140625" style="241" customWidth="1"/>
    <col min="15333" max="15341" width="2.7109375" style="241" customWidth="1"/>
    <col min="15342" max="15342" width="14.7109375" style="241" customWidth="1"/>
    <col min="15343" max="15343" width="6.28515625" style="241" customWidth="1"/>
    <col min="15344" max="15354" width="2.7109375" style="241" customWidth="1"/>
    <col min="15355" max="15355" width="25.42578125" style="241" customWidth="1"/>
    <col min="15356" max="15356" width="17.85546875" style="241" customWidth="1"/>
    <col min="15357" max="15357" width="15.85546875" style="241" customWidth="1"/>
    <col min="15358" max="15358" width="14.7109375" style="241" customWidth="1"/>
    <col min="15359" max="15359" width="15.85546875" style="241" customWidth="1"/>
    <col min="15360" max="15360" width="15" style="241" customWidth="1"/>
    <col min="15361" max="15361" width="18.140625" style="241" customWidth="1"/>
    <col min="15362" max="15362" width="22.42578125" style="241" customWidth="1"/>
    <col min="15363" max="15363" width="23.7109375" style="241" customWidth="1"/>
    <col min="15364" max="15364" width="14" style="241" customWidth="1"/>
    <col min="15365" max="15365" width="15" style="241" customWidth="1"/>
    <col min="15366" max="15366" width="21.28515625" style="241" customWidth="1"/>
    <col min="15367" max="15367" width="15.85546875" style="241" customWidth="1"/>
    <col min="15368" max="15368" width="18.28515625" style="241" customWidth="1"/>
    <col min="15369" max="15369" width="16.28515625" style="241" customWidth="1"/>
    <col min="15370" max="15574" width="11.42578125" style="241"/>
    <col min="15575" max="15586" width="2.7109375" style="241" customWidth="1"/>
    <col min="15587" max="15588" width="6.140625" style="241" customWidth="1"/>
    <col min="15589" max="15597" width="2.7109375" style="241" customWidth="1"/>
    <col min="15598" max="15598" width="14.7109375" style="241" customWidth="1"/>
    <col min="15599" max="15599" width="6.28515625" style="241" customWidth="1"/>
    <col min="15600" max="15610" width="2.7109375" style="241" customWidth="1"/>
    <col min="15611" max="15611" width="25.42578125" style="241" customWidth="1"/>
    <col min="15612" max="15612" width="17.85546875" style="241" customWidth="1"/>
    <col min="15613" max="15613" width="15.85546875" style="241" customWidth="1"/>
    <col min="15614" max="15614" width="14.7109375" style="241" customWidth="1"/>
    <col min="15615" max="15615" width="15.85546875" style="241" customWidth="1"/>
    <col min="15616" max="15616" width="15" style="241" customWidth="1"/>
    <col min="15617" max="15617" width="18.140625" style="241" customWidth="1"/>
    <col min="15618" max="15618" width="22.42578125" style="241" customWidth="1"/>
    <col min="15619" max="15619" width="23.7109375" style="241" customWidth="1"/>
    <col min="15620" max="15620" width="14" style="241" customWidth="1"/>
    <col min="15621" max="15621" width="15" style="241" customWidth="1"/>
    <col min="15622" max="15622" width="21.28515625" style="241" customWidth="1"/>
    <col min="15623" max="15623" width="15.85546875" style="241" customWidth="1"/>
    <col min="15624" max="15624" width="18.28515625" style="241" customWidth="1"/>
    <col min="15625" max="15625" width="16.28515625" style="241" customWidth="1"/>
    <col min="15626" max="15830" width="11.42578125" style="241"/>
    <col min="15831" max="15842" width="2.7109375" style="241" customWidth="1"/>
    <col min="15843" max="15844" width="6.140625" style="241" customWidth="1"/>
    <col min="15845" max="15853" width="2.7109375" style="241" customWidth="1"/>
    <col min="15854" max="15854" width="14.7109375" style="241" customWidth="1"/>
    <col min="15855" max="15855" width="6.28515625" style="241" customWidth="1"/>
    <col min="15856" max="15866" width="2.7109375" style="241" customWidth="1"/>
    <col min="15867" max="15867" width="25.42578125" style="241" customWidth="1"/>
    <col min="15868" max="15868" width="17.85546875" style="241" customWidth="1"/>
    <col min="15869" max="15869" width="15.85546875" style="241" customWidth="1"/>
    <col min="15870" max="15870" width="14.7109375" style="241" customWidth="1"/>
    <col min="15871" max="15871" width="15.85546875" style="241" customWidth="1"/>
    <col min="15872" max="15872" width="15" style="241" customWidth="1"/>
    <col min="15873" max="15873" width="18.140625" style="241" customWidth="1"/>
    <col min="15874" max="15874" width="22.42578125" style="241" customWidth="1"/>
    <col min="15875" max="15875" width="23.7109375" style="241" customWidth="1"/>
    <col min="15876" max="15876" width="14" style="241" customWidth="1"/>
    <col min="15877" max="15877" width="15" style="241" customWidth="1"/>
    <col min="15878" max="15878" width="21.28515625" style="241" customWidth="1"/>
    <col min="15879" max="15879" width="15.85546875" style="241" customWidth="1"/>
    <col min="15880" max="15880" width="18.28515625" style="241" customWidth="1"/>
    <col min="15881" max="15881" width="16.28515625" style="241" customWidth="1"/>
    <col min="15882" max="16086" width="11.42578125" style="241"/>
    <col min="16087" max="16098" width="2.7109375" style="241" customWidth="1"/>
    <col min="16099" max="16100" width="6.140625" style="241" customWidth="1"/>
    <col min="16101" max="16109" width="2.7109375" style="241" customWidth="1"/>
    <col min="16110" max="16110" width="14.7109375" style="241" customWidth="1"/>
    <col min="16111" max="16111" width="6.28515625" style="241" customWidth="1"/>
    <col min="16112" max="16122" width="2.7109375" style="241" customWidth="1"/>
    <col min="16123" max="16123" width="25.42578125" style="241" customWidth="1"/>
    <col min="16124" max="16124" width="17.85546875" style="241" customWidth="1"/>
    <col min="16125" max="16125" width="15.85546875" style="241" customWidth="1"/>
    <col min="16126" max="16126" width="14.7109375" style="241" customWidth="1"/>
    <col min="16127" max="16127" width="15.85546875" style="241" customWidth="1"/>
    <col min="16128" max="16128" width="15" style="241" customWidth="1"/>
    <col min="16129" max="16129" width="18.140625" style="241" customWidth="1"/>
    <col min="16130" max="16130" width="22.42578125" style="241" customWidth="1"/>
    <col min="16131" max="16131" width="23.7109375" style="241" customWidth="1"/>
    <col min="16132" max="16132" width="14" style="241" customWidth="1"/>
    <col min="16133" max="16133" width="15" style="241" customWidth="1"/>
    <col min="16134" max="16134" width="21.28515625" style="241" customWidth="1"/>
    <col min="16135" max="16135" width="15.85546875" style="241" customWidth="1"/>
    <col min="16136" max="16136" width="18.28515625" style="241" customWidth="1"/>
    <col min="16137" max="16137" width="16.28515625" style="241" customWidth="1"/>
    <col min="16138" max="16384" width="11.42578125" style="241"/>
  </cols>
  <sheetData>
    <row r="1" spans="1:22" s="285" customFormat="1" ht="14.1" customHeight="1">
      <c r="A1" s="4156"/>
      <c r="B1" s="2498"/>
      <c r="C1" s="2379" t="s">
        <v>9</v>
      </c>
      <c r="D1" s="2380"/>
      <c r="E1" s="2380"/>
      <c r="F1" s="2380"/>
      <c r="G1" s="2380"/>
      <c r="H1" s="2381"/>
    </row>
    <row r="2" spans="1:22" s="285" customFormat="1" ht="14.1" customHeight="1">
      <c r="A2" s="3379"/>
      <c r="B2" s="2500"/>
      <c r="C2" s="2382" t="s">
        <v>220</v>
      </c>
      <c r="D2" s="2383"/>
      <c r="E2" s="2383"/>
      <c r="F2" s="2383"/>
      <c r="G2" s="2383"/>
      <c r="H2" s="2384"/>
    </row>
    <row r="3" spans="1:22" s="285" customFormat="1" ht="14.1" customHeight="1">
      <c r="A3" s="3379"/>
      <c r="B3" s="2500"/>
      <c r="C3" s="2382" t="s">
        <v>594</v>
      </c>
      <c r="D3" s="2383"/>
      <c r="E3" s="2383"/>
      <c r="F3" s="2383"/>
      <c r="G3" s="2383"/>
      <c r="H3" s="2384"/>
      <c r="L3" s="286"/>
      <c r="M3" s="286"/>
      <c r="N3" s="286"/>
      <c r="O3" s="286"/>
      <c r="P3" s="286"/>
      <c r="Q3" s="286"/>
      <c r="R3" s="286"/>
      <c r="S3" s="286"/>
      <c r="T3" s="286"/>
      <c r="U3" s="286"/>
      <c r="V3" s="286"/>
    </row>
    <row r="4" spans="1:22" s="285" customFormat="1" ht="12.95" customHeight="1">
      <c r="A4" s="3379"/>
      <c r="B4" s="2500"/>
      <c r="C4" s="2388" t="s">
        <v>221</v>
      </c>
      <c r="D4" s="2389"/>
      <c r="E4" s="2389"/>
      <c r="F4" s="2390"/>
      <c r="G4" s="4157" t="s">
        <v>578</v>
      </c>
      <c r="H4" s="4158"/>
    </row>
    <row r="5" spans="1:22" s="285" customFormat="1" ht="12.95" customHeight="1">
      <c r="A5" s="3380"/>
      <c r="B5" s="2502"/>
      <c r="C5" s="2388" t="s">
        <v>638</v>
      </c>
      <c r="D5" s="2389"/>
      <c r="E5" s="2389"/>
      <c r="F5" s="2389"/>
      <c r="G5" s="2389"/>
      <c r="H5" s="2390"/>
    </row>
    <row r="6" spans="1:22" s="285" customFormat="1" ht="14.1" customHeight="1">
      <c r="A6" s="75" t="s">
        <v>5</v>
      </c>
      <c r="B6" s="3935" t="str">
        <f>IF('Gradacion '!E6="","",'Gradacion '!E6)</f>
        <v/>
      </c>
      <c r="C6" s="3935"/>
      <c r="D6" s="3935"/>
      <c r="E6" s="3935"/>
      <c r="F6" s="3172" t="s">
        <v>324</v>
      </c>
      <c r="G6" s="3172"/>
      <c r="H6" s="933"/>
    </row>
    <row r="7" spans="1:22" s="285" customFormat="1" ht="14.1" customHeight="1">
      <c r="A7" s="75" t="s">
        <v>223</v>
      </c>
      <c r="B7" s="49" t="str">
        <f>IF('Gradacion '!E7="","",+'Gradacion '!E7)</f>
        <v/>
      </c>
      <c r="C7" s="955" t="s">
        <v>18</v>
      </c>
      <c r="D7" s="3935" t="str">
        <f>IF('Gradacion '!O7="","",'Gradacion '!O7)</f>
        <v/>
      </c>
      <c r="E7" s="3935"/>
      <c r="F7" s="952" t="s">
        <v>40</v>
      </c>
      <c r="G7" s="952"/>
      <c r="H7" s="76" t="str">
        <f>IF('Gradacion '!AB7="","",+'Gradacion '!AB7)</f>
        <v/>
      </c>
    </row>
    <row r="8" spans="1:22" s="285" customFormat="1" ht="14.1" customHeight="1">
      <c r="A8" s="75" t="s">
        <v>465</v>
      </c>
      <c r="B8" s="1041" t="str">
        <f>IF('Gradacion '!E8="","",+'Gradacion '!E8)</f>
        <v/>
      </c>
      <c r="C8" s="954" t="s">
        <v>19</v>
      </c>
      <c r="D8" s="4164" t="str">
        <f>IF('Gradacion '!O8="","",'Gradacion '!O8)</f>
        <v/>
      </c>
      <c r="E8" s="4164"/>
      <c r="F8" s="4151" t="s">
        <v>407</v>
      </c>
      <c r="G8" s="4151"/>
      <c r="H8" s="923" t="str">
        <f>IF('Gradacion '!AB8="","",+'Gradacion '!AB8)</f>
        <v/>
      </c>
      <c r="I8" s="291"/>
    </row>
    <row r="9" spans="1:22" s="285" customFormat="1" ht="14.1" customHeight="1">
      <c r="A9" s="765" t="s">
        <v>6</v>
      </c>
      <c r="B9" s="3936" t="str">
        <f>IF('Gradacion '!E9="","",+'Gradacion '!E9)</f>
        <v/>
      </c>
      <c r="C9" s="3936"/>
      <c r="D9" s="3936"/>
      <c r="E9" s="3936"/>
      <c r="F9" s="964" t="s">
        <v>633</v>
      </c>
      <c r="G9" s="963"/>
      <c r="H9" s="76" t="str">
        <f>IF('Gradacion '!AB9="","",+'Gradacion '!AB9)</f>
        <v/>
      </c>
    </row>
    <row r="10" spans="1:22" s="285" customFormat="1" ht="18" customHeight="1">
      <c r="A10" s="3647" t="s">
        <v>227</v>
      </c>
      <c r="B10" s="3648"/>
      <c r="C10" s="3648"/>
      <c r="D10" s="3648"/>
      <c r="E10" s="3648"/>
      <c r="F10" s="34">
        <v>1</v>
      </c>
      <c r="G10" s="808">
        <v>2</v>
      </c>
      <c r="H10" s="34">
        <v>3</v>
      </c>
    </row>
    <row r="11" spans="1:22" s="285" customFormat="1" ht="12.95" customHeight="1">
      <c r="A11" s="4152" t="s">
        <v>450</v>
      </c>
      <c r="B11" s="4153"/>
      <c r="C11" s="4153"/>
      <c r="D11" s="4160" t="s">
        <v>431</v>
      </c>
      <c r="E11" s="4161"/>
      <c r="F11" s="942" t="str">
        <f>IF(' CBR 1'!AW11="","",' CBR 1'!AW11)</f>
        <v/>
      </c>
      <c r="G11" s="835" t="str">
        <f>IF(' CBR 1'!AX11="","",' CBR 1'!AX11)</f>
        <v/>
      </c>
      <c r="H11" s="942" t="str">
        <f>IF(' CBR 1'!AZ11="","",' CBR 1'!AZ11)</f>
        <v/>
      </c>
    </row>
    <row r="12" spans="1:22" s="285" customFormat="1" ht="12.95" customHeight="1">
      <c r="A12" s="4154" t="s">
        <v>228</v>
      </c>
      <c r="B12" s="4155"/>
      <c r="C12" s="4155"/>
      <c r="D12" s="823" t="s">
        <v>432</v>
      </c>
      <c r="E12" s="824" t="s">
        <v>91</v>
      </c>
      <c r="F12" s="936" t="str">
        <f>IF(' CBR 1'!AW12="","",(' CBR 1'!AW12))</f>
        <v/>
      </c>
      <c r="G12" s="827" t="str">
        <f>IF(' CBR 1'!AX12="","",' CBR 1'!AX12)</f>
        <v/>
      </c>
      <c r="H12" s="936" t="str">
        <f>IF(' CBR 1'!AZ12="","",' CBR 1'!AZ12)</f>
        <v/>
      </c>
    </row>
    <row r="13" spans="1:22" s="285" customFormat="1" ht="12.95" customHeight="1">
      <c r="A13" s="4154" t="s">
        <v>230</v>
      </c>
      <c r="B13" s="4155"/>
      <c r="C13" s="4155"/>
      <c r="D13" s="823" t="s">
        <v>433</v>
      </c>
      <c r="E13" s="824" t="s">
        <v>91</v>
      </c>
      <c r="F13" s="936" t="str">
        <f>IF(' CBR 1'!AW13="","",' CBR 1'!AW13)</f>
        <v/>
      </c>
      <c r="G13" s="827" t="str">
        <f>IF(' CBR 1'!AX13="","",' CBR 1'!AX13)</f>
        <v/>
      </c>
      <c r="H13" s="936" t="str">
        <f>IF(' CBR 1'!AZ13="","",' CBR 1'!AZ13)</f>
        <v/>
      </c>
    </row>
    <row r="14" spans="1:22" s="285" customFormat="1" ht="12.95" customHeight="1">
      <c r="A14" s="4154" t="s">
        <v>231</v>
      </c>
      <c r="B14" s="4155"/>
      <c r="C14" s="4155"/>
      <c r="D14" s="823" t="s">
        <v>434</v>
      </c>
      <c r="E14" s="823" t="s">
        <v>91</v>
      </c>
      <c r="F14" s="936" t="str">
        <f>IF(' CBR 1'!AW14="","",' CBR 1'!AW14)</f>
        <v/>
      </c>
      <c r="G14" s="827" t="str">
        <f>IF(' CBR 1'!AX14="","",' CBR 1'!AX14)</f>
        <v/>
      </c>
      <c r="H14" s="936" t="str">
        <f>IF(' CBR 1'!AZ14="","",' CBR 1'!AZ14)</f>
        <v/>
      </c>
    </row>
    <row r="15" spans="1:22" s="285" customFormat="1" ht="12.95" customHeight="1">
      <c r="A15" s="4154" t="s">
        <v>232</v>
      </c>
      <c r="B15" s="4155"/>
      <c r="C15" s="4155"/>
      <c r="D15" s="823" t="s">
        <v>435</v>
      </c>
      <c r="E15" s="823" t="s">
        <v>233</v>
      </c>
      <c r="F15" s="826" t="str">
        <f>IF(' CBR 1'!AW15="","",' CBR 1'!AW15)</f>
        <v/>
      </c>
      <c r="G15" s="827" t="str">
        <f>IF(' CBR 1'!AX15="","",' CBR 1'!AX15)</f>
        <v/>
      </c>
      <c r="H15" s="825" t="str">
        <f>IF(' CBR 1'!AZ15="","",' CBR 1'!AZ15)</f>
        <v/>
      </c>
    </row>
    <row r="16" spans="1:22" s="285" customFormat="1" ht="12.95" customHeight="1">
      <c r="A16" s="4154" t="s">
        <v>234</v>
      </c>
      <c r="B16" s="4155"/>
      <c r="C16" s="4155"/>
      <c r="D16" s="823" t="s">
        <v>436</v>
      </c>
      <c r="E16" s="823" t="s">
        <v>91</v>
      </c>
      <c r="F16" s="825" t="str">
        <f>IF(' CBR 1'!AW16="","",' CBR 1'!AW16)</f>
        <v/>
      </c>
      <c r="G16" s="825" t="str">
        <f>IF(' CBR 1'!AX16="","",' CBR 1'!AX16)</f>
        <v/>
      </c>
      <c r="H16" s="825" t="str">
        <f>IF(' CBR 1'!AZ16="","",' CBR 1'!AZ16)</f>
        <v/>
      </c>
    </row>
    <row r="17" spans="1:9" s="285" customFormat="1" ht="12.95" customHeight="1">
      <c r="A17" s="4159" t="s">
        <v>449</v>
      </c>
      <c r="B17" s="3981"/>
      <c r="C17" s="3981"/>
      <c r="D17" s="39" t="s">
        <v>437</v>
      </c>
      <c r="E17" s="39" t="s">
        <v>235</v>
      </c>
      <c r="F17" s="70" t="str">
        <f>IF(' CBR 1'!AW17="","",' CBR 1'!AW17)</f>
        <v/>
      </c>
      <c r="G17" s="70" t="str">
        <f>IF(' CBR 1'!AX17="","",' CBR 1'!AX17)</f>
        <v/>
      </c>
      <c r="H17" s="70" t="str">
        <f>IF(' CBR 1'!AZ17="","",' CBR 1'!AZ17)</f>
        <v/>
      </c>
    </row>
    <row r="18" spans="1:9" s="285" customFormat="1" ht="12.95" customHeight="1">
      <c r="A18" s="4162" t="s">
        <v>236</v>
      </c>
      <c r="B18" s="3974"/>
      <c r="C18" s="3974"/>
      <c r="D18" s="3974"/>
      <c r="E18" s="3974"/>
      <c r="F18" s="3974"/>
      <c r="G18" s="3974"/>
      <c r="H18" s="4163"/>
    </row>
    <row r="19" spans="1:9" s="285" customFormat="1" ht="12.95" customHeight="1">
      <c r="A19" s="3711" t="s">
        <v>238</v>
      </c>
      <c r="B19" s="3664"/>
      <c r="C19" s="3664"/>
      <c r="D19" s="828" t="s">
        <v>438</v>
      </c>
      <c r="E19" s="829" t="s">
        <v>91</v>
      </c>
      <c r="F19" s="937" t="str">
        <f>IF(' CBR 1'!AW19="","",' CBR 1'!AW19)</f>
        <v/>
      </c>
      <c r="G19" s="935" t="str">
        <f>IF(' CBR 1'!AX19="","",' CBR 1'!AX19)</f>
        <v/>
      </c>
      <c r="H19" s="938" t="str">
        <f>IF(' CBR 1'!AZ19="","",' CBR 1'!AZ19)</f>
        <v/>
      </c>
    </row>
    <row r="20" spans="1:9" ht="12.95" customHeight="1">
      <c r="A20" s="4154" t="s">
        <v>240</v>
      </c>
      <c r="B20" s="4155"/>
      <c r="C20" s="4155"/>
      <c r="D20" s="823" t="s">
        <v>439</v>
      </c>
      <c r="E20" s="831" t="s">
        <v>91</v>
      </c>
      <c r="F20" s="832" t="str">
        <f>IF(' CBR 1'!AW20="","",' CBR 1'!AW20)</f>
        <v/>
      </c>
      <c r="G20" s="827" t="str">
        <f>IF(' CBR 1'!AX20="","",' CBR 1'!AX20)</f>
        <v/>
      </c>
      <c r="H20" s="833" t="str">
        <f>IF(' CBR 1'!AZ20="","",' CBR 1'!AZ20)</f>
        <v/>
      </c>
    </row>
    <row r="21" spans="1:9" s="263" customFormat="1" ht="12.95" customHeight="1">
      <c r="A21" s="4154" t="s">
        <v>241</v>
      </c>
      <c r="B21" s="4155"/>
      <c r="C21" s="4155"/>
      <c r="D21" s="823" t="s">
        <v>440</v>
      </c>
      <c r="E21" s="831" t="s">
        <v>91</v>
      </c>
      <c r="F21" s="832" t="str">
        <f>IF(' CBR 1'!AW21="","",' CBR 1'!AW21)</f>
        <v/>
      </c>
      <c r="G21" s="827" t="str">
        <f>IF(' CBR 1'!AX21="","",' CBR 1'!AX21)</f>
        <v/>
      </c>
      <c r="H21" s="833" t="str">
        <f>IF(' CBR 1'!AZ21="","",' CBR 1'!AZ21)</f>
        <v/>
      </c>
      <c r="I21" s="303"/>
    </row>
    <row r="22" spans="1:9" s="307" customFormat="1" ht="12.95" customHeight="1">
      <c r="A22" s="4154" t="s">
        <v>242</v>
      </c>
      <c r="B22" s="4155"/>
      <c r="C22" s="4155"/>
      <c r="D22" s="823" t="s">
        <v>441</v>
      </c>
      <c r="E22" s="831" t="s">
        <v>91</v>
      </c>
      <c r="F22" s="832" t="str">
        <f>IF(' CBR 1'!AW22="","",' CBR 1'!AW22)</f>
        <v/>
      </c>
      <c r="G22" s="827" t="str">
        <f>IF(' CBR 1'!AX22="","",' CBR 1'!AX22)</f>
        <v/>
      </c>
      <c r="H22" s="833" t="str">
        <f>IF(' CBR 1'!AZ22="","",' CBR 1'!AZ22)</f>
        <v/>
      </c>
    </row>
    <row r="23" spans="1:9" ht="12.95" customHeight="1">
      <c r="A23" s="4154" t="s">
        <v>245</v>
      </c>
      <c r="B23" s="4155"/>
      <c r="C23" s="4155"/>
      <c r="D23" s="823" t="s">
        <v>442</v>
      </c>
      <c r="E23" s="831" t="s">
        <v>91</v>
      </c>
      <c r="F23" s="832" t="str">
        <f>IF(' CBR 1'!AW23="","",' CBR 1'!AW23)</f>
        <v/>
      </c>
      <c r="G23" s="827" t="str">
        <f>IF(' CBR 1'!AX23="","",' CBR 1'!AX23)</f>
        <v/>
      </c>
      <c r="H23" s="833" t="str">
        <f>IF(' CBR 1'!AZ23="","",' CBR 1'!AZ23)</f>
        <v/>
      </c>
      <c r="I23" s="241"/>
    </row>
    <row r="24" spans="1:9" ht="12.95" customHeight="1">
      <c r="A24" s="4173" t="s">
        <v>448</v>
      </c>
      <c r="B24" s="3532"/>
      <c r="C24" s="3532"/>
      <c r="D24" s="40" t="s">
        <v>443</v>
      </c>
      <c r="E24" s="41" t="s">
        <v>95</v>
      </c>
      <c r="F24" s="33" t="str">
        <f>IF(' CBR 1'!AW24="","",' CBR 1'!AW24)</f>
        <v/>
      </c>
      <c r="G24" s="830" t="str">
        <f>IF(' CBR 1'!AX24="","",' CBR 1'!AX24)</f>
        <v/>
      </c>
      <c r="H24" s="55" t="str">
        <f>IF(' CBR 1'!AZ24="","",' CBR 1'!AZ24)</f>
        <v/>
      </c>
      <c r="I24" s="241"/>
    </row>
    <row r="25" spans="1:9" ht="12.95" customHeight="1">
      <c r="A25" s="4169" t="s">
        <v>249</v>
      </c>
      <c r="B25" s="3976"/>
      <c r="C25" s="3976"/>
      <c r="D25" s="3976"/>
      <c r="E25" s="3976"/>
      <c r="F25" s="3976"/>
      <c r="G25" s="3976"/>
      <c r="H25" s="4170"/>
      <c r="I25" s="241"/>
    </row>
    <row r="26" spans="1:9" ht="12.95" customHeight="1">
      <c r="A26" s="3711" t="s">
        <v>250</v>
      </c>
      <c r="B26" s="3664"/>
      <c r="C26" s="3664"/>
      <c r="D26" s="828" t="s">
        <v>437</v>
      </c>
      <c r="E26" s="829" t="s">
        <v>235</v>
      </c>
      <c r="F26" s="834" t="str">
        <f>IF(' CBR 1'!AW26="","",' CBR 1'!AW26)</f>
        <v/>
      </c>
      <c r="G26" s="835" t="str">
        <f>IF(' CBR 1'!AX26="","",' CBR 1'!AX26)</f>
        <v/>
      </c>
      <c r="H26" s="836" t="str">
        <f>IF(' CBR 1'!AY26="","",' CBR 1'!AY26)</f>
        <v/>
      </c>
      <c r="I26" s="241"/>
    </row>
    <row r="27" spans="1:9" ht="12.95" customHeight="1">
      <c r="A27" s="4174" t="s">
        <v>250</v>
      </c>
      <c r="B27" s="4175"/>
      <c r="C27" s="4175"/>
      <c r="D27" s="863" t="s">
        <v>437</v>
      </c>
      <c r="E27" s="864" t="s">
        <v>252</v>
      </c>
      <c r="F27" s="865" t="str">
        <f>IF(' CBR 1'!AW27="","",' CBR 1'!AW27)</f>
        <v/>
      </c>
      <c r="G27" s="866" t="str">
        <f>IF(' CBR 1'!AX27="","",' CBR 1'!AX27)</f>
        <v/>
      </c>
      <c r="H27" s="867" t="str">
        <f>IF(' CBR 1'!AY27="","",' CBR 1'!AY27)</f>
        <v/>
      </c>
      <c r="I27" s="241"/>
    </row>
    <row r="28" spans="1:9" ht="12.95" customHeight="1">
      <c r="A28" s="4176" t="s">
        <v>254</v>
      </c>
      <c r="B28" s="4177"/>
      <c r="C28" s="4177"/>
      <c r="D28" s="859"/>
      <c r="E28" s="860" t="s">
        <v>95</v>
      </c>
      <c r="F28" s="861" t="str">
        <f>IF(' CBR 1'!AW28="","",' CBR 1'!AW28)</f>
        <v/>
      </c>
      <c r="G28" s="862" t="str">
        <f>IF(' CBR 1'!AX28="","",' CBR 1'!AX28)</f>
        <v/>
      </c>
      <c r="H28" s="839" t="str">
        <f>IF(' CBR 1'!AY28="","",' CBR 1'!AY28)</f>
        <v/>
      </c>
      <c r="I28" s="241"/>
    </row>
    <row r="29" spans="1:9" ht="12.95" customHeight="1">
      <c r="A29" s="4173" t="s">
        <v>258</v>
      </c>
      <c r="B29" s="3532"/>
      <c r="C29" s="3532"/>
      <c r="D29" s="40"/>
      <c r="E29" s="41" t="s">
        <v>95</v>
      </c>
      <c r="F29" s="837" t="str">
        <f>IF(' CBR 1'!AW29="","",' CBR 1'!AW29)</f>
        <v/>
      </c>
      <c r="G29" s="838" t="str">
        <f>IF(' CBR 1'!AX29="","",' CBR 1'!AX29)</f>
        <v/>
      </c>
      <c r="H29" s="56" t="str">
        <f>IF(' CBR 1'!AY29="","",' CBR 1'!AY29)</f>
        <v/>
      </c>
      <c r="I29" s="241"/>
    </row>
    <row r="30" spans="1:9" ht="11.1" customHeight="1">
      <c r="A30" s="903"/>
      <c r="B30" s="256"/>
      <c r="C30" s="256"/>
      <c r="D30" s="256"/>
      <c r="E30" s="701"/>
      <c r="F30" s="702"/>
      <c r="G30" s="702"/>
      <c r="H30" s="766"/>
      <c r="I30" s="241"/>
    </row>
    <row r="31" spans="1:9" ht="11.1" customHeight="1">
      <c r="A31" s="904"/>
      <c r="B31" s="256"/>
      <c r="C31" s="256"/>
      <c r="D31" s="256"/>
      <c r="E31" s="4188" t="s">
        <v>262</v>
      </c>
      <c r="F31" s="4189"/>
      <c r="G31" s="4189"/>
      <c r="H31" s="4190"/>
      <c r="I31" s="241"/>
    </row>
    <row r="32" spans="1:9" ht="11.1" customHeight="1">
      <c r="A32" s="904"/>
      <c r="B32" s="256"/>
      <c r="C32" s="256"/>
      <c r="D32" s="256"/>
      <c r="E32" s="16" t="s">
        <v>452</v>
      </c>
      <c r="F32" s="701"/>
      <c r="G32" s="767" t="s">
        <v>455</v>
      </c>
      <c r="H32" s="768" t="str">
        <f>IF(' CBR 1'!AZ32="","",' CBR 1'!AZ32)</f>
        <v>N.A</v>
      </c>
      <c r="I32" s="241"/>
    </row>
    <row r="33" spans="1:12" ht="11.1" customHeight="1">
      <c r="A33" s="904"/>
      <c r="B33" s="256"/>
      <c r="C33" s="256"/>
      <c r="D33" s="256"/>
      <c r="E33" s="63" t="s">
        <v>453</v>
      </c>
      <c r="F33" s="709"/>
      <c r="G33" s="769" t="s">
        <v>454</v>
      </c>
      <c r="H33" s="770" t="str">
        <f>IF(' CBR 1'!AZ33="","",' CBR 1'!AZ33)</f>
        <v>N.A</v>
      </c>
      <c r="I33" s="241"/>
    </row>
    <row r="34" spans="1:12" ht="11.1" customHeight="1">
      <c r="A34" s="904"/>
      <c r="B34" s="256"/>
      <c r="C34" s="256"/>
      <c r="D34" s="256"/>
      <c r="E34" s="701"/>
      <c r="F34" s="701"/>
      <c r="G34" s="701"/>
      <c r="H34" s="771"/>
      <c r="I34" s="241"/>
    </row>
    <row r="35" spans="1:12" ht="11.1" customHeight="1">
      <c r="A35" s="904"/>
      <c r="B35" s="256"/>
      <c r="C35" s="256"/>
      <c r="D35" s="256"/>
      <c r="E35" s="4178" t="s">
        <v>269</v>
      </c>
      <c r="F35" s="4179"/>
      <c r="G35" s="4179"/>
      <c r="H35" s="4180"/>
      <c r="I35" s="241"/>
    </row>
    <row r="36" spans="1:12" ht="11.1" customHeight="1">
      <c r="A36" s="904"/>
      <c r="B36" s="256"/>
      <c r="C36" s="256"/>
      <c r="D36" s="256"/>
      <c r="E36" s="4181"/>
      <c r="F36" s="4182"/>
      <c r="G36" s="4182"/>
      <c r="H36" s="4183"/>
      <c r="I36" s="241"/>
    </row>
    <row r="37" spans="1:12" ht="11.1" customHeight="1">
      <c r="A37" s="904"/>
      <c r="B37" s="256"/>
      <c r="C37" s="256"/>
      <c r="D37" s="256"/>
      <c r="E37" s="4191" t="s">
        <v>595</v>
      </c>
      <c r="F37" s="4192"/>
      <c r="G37" s="4192"/>
      <c r="H37" s="4193"/>
      <c r="I37" s="772" t="s">
        <v>606</v>
      </c>
      <c r="J37" s="701"/>
      <c r="K37" s="44"/>
      <c r="L37" s="57" t="str">
        <f>IF(' CBR 1'!AZ37="","",' CBR 1'!AZ37)</f>
        <v/>
      </c>
    </row>
    <row r="38" spans="1:12" s="315" customFormat="1" ht="11.1" customHeight="1">
      <c r="A38" s="904"/>
      <c r="B38" s="256"/>
      <c r="C38" s="256"/>
      <c r="D38" s="256"/>
      <c r="E38" s="4194"/>
      <c r="F38" s="4195"/>
      <c r="G38" s="4195"/>
      <c r="H38" s="4196"/>
      <c r="I38" s="773" t="s">
        <v>607</v>
      </c>
      <c r="J38" s="774"/>
      <c r="K38" s="61"/>
      <c r="L38" s="62"/>
    </row>
    <row r="39" spans="1:12" ht="11.1" customHeight="1">
      <c r="A39" s="904"/>
      <c r="B39" s="256"/>
      <c r="C39" s="256"/>
      <c r="D39" s="256"/>
      <c r="E39" s="701"/>
      <c r="F39" s="705"/>
      <c r="G39" s="705"/>
      <c r="H39" s="775"/>
      <c r="I39" s="241"/>
    </row>
    <row r="40" spans="1:12" ht="11.1" customHeight="1">
      <c r="A40" s="904"/>
      <c r="B40" s="256"/>
      <c r="C40" s="256"/>
      <c r="D40" s="256"/>
      <c r="E40" s="701"/>
      <c r="F40" s="705"/>
      <c r="G40" s="705"/>
      <c r="H40" s="775"/>
      <c r="I40" s="241"/>
    </row>
    <row r="41" spans="1:12" ht="11.1" customHeight="1">
      <c r="A41" s="904"/>
      <c r="B41" s="256"/>
      <c r="C41" s="256"/>
      <c r="D41" s="256"/>
      <c r="E41" s="701"/>
      <c r="F41" s="701"/>
      <c r="G41" s="701"/>
      <c r="H41" s="771"/>
      <c r="I41" s="241"/>
    </row>
    <row r="42" spans="1:12" ht="12" customHeight="1">
      <c r="A42" s="904"/>
      <c r="B42" s="256"/>
      <c r="C42" s="256"/>
      <c r="D42" s="256"/>
      <c r="E42" s="4184" t="s">
        <v>272</v>
      </c>
      <c r="F42" s="4185"/>
      <c r="G42" s="64" t="s">
        <v>273</v>
      </c>
      <c r="H42" s="4171" t="s">
        <v>274</v>
      </c>
      <c r="I42" s="241"/>
    </row>
    <row r="43" spans="1:12" ht="6" customHeight="1">
      <c r="A43" s="904"/>
      <c r="B43" s="256"/>
      <c r="C43" s="256"/>
      <c r="D43" s="256"/>
      <c r="E43" s="4186"/>
      <c r="F43" s="4187"/>
      <c r="G43" s="65"/>
      <c r="H43" s="4172"/>
      <c r="I43" s="241"/>
    </row>
    <row r="44" spans="1:12" ht="13.5" customHeight="1">
      <c r="A44" s="904"/>
      <c r="B44" s="256"/>
      <c r="C44" s="256"/>
      <c r="D44" s="256"/>
      <c r="E44" s="4165" t="s">
        <v>95</v>
      </c>
      <c r="F44" s="4166"/>
      <c r="G44" s="66" t="s">
        <v>460</v>
      </c>
      <c r="H44" s="58" t="s">
        <v>95</v>
      </c>
      <c r="I44" s="241"/>
    </row>
    <row r="45" spans="1:12" ht="11.1" customHeight="1">
      <c r="A45" s="904"/>
      <c r="B45" s="256"/>
      <c r="C45" s="256"/>
      <c r="D45" s="256"/>
      <c r="E45" s="4167">
        <f>IF(' CBR 1'!AW45="","",' CBR 1'!AW45)</f>
        <v>100</v>
      </c>
      <c r="F45" s="4168"/>
      <c r="G45" s="67" t="str">
        <f>IF(' CBR 1'!AX45="","",' CBR 1'!AX45)</f>
        <v/>
      </c>
      <c r="H45" s="59" t="str">
        <f>IF(' CBR 1'!AZ45="","",' CBR 1'!AZ45)</f>
        <v/>
      </c>
      <c r="I45" s="241"/>
    </row>
    <row r="46" spans="1:12" ht="11.1" customHeight="1">
      <c r="A46" s="904"/>
      <c r="B46" s="256"/>
      <c r="C46" s="256"/>
      <c r="D46" s="256"/>
      <c r="E46" s="4167">
        <f>IF(' CBR 1'!AW46="","",' CBR 1'!AW46)</f>
        <v>98</v>
      </c>
      <c r="F46" s="4168"/>
      <c r="G46" s="67" t="str">
        <f>IF(' CBR 1'!AX46="","",' CBR 1'!AX46)</f>
        <v/>
      </c>
      <c r="H46" s="59" t="str">
        <f>IF(' CBR 1'!AZ46="","",' CBR 1'!AZ46)</f>
        <v/>
      </c>
      <c r="I46" s="241"/>
    </row>
    <row r="47" spans="1:12" ht="11.1" customHeight="1">
      <c r="A47" s="904"/>
      <c r="B47" s="256"/>
      <c r="C47" s="256"/>
      <c r="D47" s="256"/>
      <c r="E47" s="4204">
        <f>IF(' CBR 1'!AW47="","",' CBR 1'!AW47)</f>
        <v>95</v>
      </c>
      <c r="F47" s="4205"/>
      <c r="G47" s="68" t="str">
        <f>IF(' CBR 1'!AX47="","",' CBR 1'!AX47)</f>
        <v/>
      </c>
      <c r="H47" s="60" t="str">
        <f>IF(' CBR 1'!AZ47="","",' CBR 1'!AZ47)</f>
        <v/>
      </c>
      <c r="I47" s="241"/>
    </row>
    <row r="48" spans="1:12" ht="11.1" customHeight="1">
      <c r="A48" s="905"/>
      <c r="B48" s="256"/>
      <c r="C48" s="256"/>
      <c r="D48" s="256"/>
      <c r="E48" s="707"/>
      <c r="F48" s="701"/>
      <c r="G48" s="701"/>
      <c r="H48" s="771"/>
      <c r="I48" s="241"/>
    </row>
    <row r="49" spans="1:9" ht="11.1" customHeight="1">
      <c r="A49" s="906"/>
      <c r="B49" s="907"/>
      <c r="C49" s="907"/>
      <c r="D49" s="907"/>
      <c r="E49" s="708"/>
      <c r="F49" s="708"/>
      <c r="G49" s="709"/>
      <c r="H49" s="776"/>
      <c r="I49" s="241"/>
    </row>
    <row r="50" spans="1:9" ht="23.25" customHeight="1">
      <c r="A50" s="4198" t="s">
        <v>20</v>
      </c>
      <c r="B50" s="4199"/>
      <c r="C50" s="4199"/>
      <c r="D50" s="4199"/>
      <c r="E50" s="4199"/>
      <c r="F50" s="4199"/>
      <c r="G50" s="4199"/>
      <c r="H50" s="4200"/>
      <c r="I50" s="241"/>
    </row>
    <row r="51" spans="1:9" ht="12.75" customHeight="1">
      <c r="A51" s="4201"/>
      <c r="B51" s="4202"/>
      <c r="C51" s="4202"/>
      <c r="D51" s="4202"/>
      <c r="E51" s="4202"/>
      <c r="F51" s="4202"/>
      <c r="G51" s="4202"/>
      <c r="H51" s="4203"/>
      <c r="I51" s="241"/>
    </row>
    <row r="52" spans="1:9" ht="14.1" customHeight="1">
      <c r="A52" s="3859"/>
      <c r="B52" s="4218"/>
      <c r="C52" s="2434" t="s">
        <v>10</v>
      </c>
      <c r="D52" s="2436"/>
      <c r="E52" s="2434" t="s">
        <v>11</v>
      </c>
      <c r="F52" s="2436"/>
      <c r="G52" s="2435" t="s">
        <v>12</v>
      </c>
      <c r="H52" s="2436"/>
      <c r="I52" s="241"/>
    </row>
    <row r="53" spans="1:9" ht="0.75" customHeight="1">
      <c r="A53" s="777" t="s">
        <v>21</v>
      </c>
      <c r="B53" s="712"/>
      <c r="C53" s="778"/>
      <c r="D53" s="779"/>
      <c r="E53" s="778"/>
      <c r="F53" s="771"/>
      <c r="G53" s="701"/>
      <c r="H53" s="780"/>
      <c r="I53" s="241"/>
    </row>
    <row r="54" spans="1:9" ht="37.5" customHeight="1">
      <c r="A54" s="2194" t="s">
        <v>13</v>
      </c>
      <c r="B54" s="2074"/>
      <c r="C54" s="3566"/>
      <c r="D54" s="4212"/>
      <c r="E54" s="3566"/>
      <c r="F54" s="4212"/>
      <c r="G54" s="3567"/>
      <c r="H54" s="4212"/>
      <c r="I54" s="241"/>
    </row>
    <row r="55" spans="1:9" ht="12" customHeight="1">
      <c r="A55" s="2194" t="s">
        <v>623</v>
      </c>
      <c r="B55" s="2074"/>
      <c r="C55" s="4208" t="s">
        <v>560</v>
      </c>
      <c r="D55" s="4209"/>
      <c r="E55" s="4213" t="s">
        <v>560</v>
      </c>
      <c r="F55" s="4209"/>
      <c r="G55" s="4214" t="s">
        <v>560</v>
      </c>
      <c r="H55" s="4215"/>
      <c r="I55" s="241"/>
    </row>
    <row r="56" spans="1:9" ht="12" customHeight="1">
      <c r="A56" s="4206" t="s">
        <v>14</v>
      </c>
      <c r="B56" s="4207"/>
      <c r="C56" s="4210"/>
      <c r="D56" s="4211"/>
      <c r="E56" s="4210" t="str">
        <f>IF(E55="--","",VLOOKUP(E55,firmas!A33:B35,2,0))</f>
        <v/>
      </c>
      <c r="F56" s="4211"/>
      <c r="G56" s="4216" t="str">
        <f>IF(G55="--","",VLOOKUP(G55,firmas!A37:B38,2))</f>
        <v/>
      </c>
      <c r="H56" s="4217"/>
      <c r="I56" s="241"/>
    </row>
    <row r="57" spans="1:9" ht="12" customHeight="1" thickBot="1">
      <c r="A57" s="2047" t="s">
        <v>24</v>
      </c>
      <c r="B57" s="2047"/>
      <c r="C57" s="2047"/>
      <c r="D57" s="2047"/>
      <c r="E57" s="2047"/>
      <c r="F57" s="2047"/>
      <c r="G57" s="2047"/>
      <c r="H57" s="2047"/>
      <c r="I57" s="255"/>
    </row>
    <row r="58" spans="1:9" ht="18" customHeight="1" thickTop="1">
      <c r="A58" s="4197" t="s">
        <v>15</v>
      </c>
      <c r="B58" s="4197"/>
      <c r="C58" s="4197"/>
      <c r="D58" s="4197"/>
      <c r="E58" s="4197"/>
      <c r="F58" s="4197"/>
      <c r="G58" s="4197"/>
      <c r="H58" s="4197"/>
      <c r="I58" s="241"/>
    </row>
    <row r="59" spans="1:9" ht="27.95" customHeight="1">
      <c r="A59" s="1783" t="s">
        <v>16</v>
      </c>
      <c r="B59" s="1783"/>
      <c r="C59" s="1783"/>
      <c r="D59" s="1783"/>
      <c r="E59" s="1783"/>
      <c r="F59" s="1783"/>
      <c r="G59" s="1783"/>
      <c r="H59" s="1783"/>
      <c r="I59" s="241"/>
    </row>
    <row r="60" spans="1:9" s="255" customFormat="1" ht="54" customHeight="1">
      <c r="A60" s="241"/>
      <c r="B60" s="248"/>
      <c r="C60" s="248"/>
      <c r="D60" s="248"/>
      <c r="E60" s="248"/>
      <c r="F60" s="248"/>
      <c r="G60" s="248"/>
      <c r="H60" s="248"/>
      <c r="I60" s="317"/>
    </row>
    <row r="61" spans="1:9" s="255" customFormat="1">
      <c r="A61" s="241"/>
      <c r="B61" s="248"/>
      <c r="C61" s="248"/>
      <c r="D61" s="248"/>
      <c r="E61" s="248"/>
      <c r="F61" s="248"/>
      <c r="G61" s="248"/>
      <c r="H61" s="248"/>
      <c r="I61" s="317"/>
    </row>
    <row r="62" spans="1:9" s="255" customFormat="1" ht="14.45" customHeight="1">
      <c r="A62" s="241"/>
      <c r="B62" s="248"/>
      <c r="C62" s="248"/>
      <c r="D62" s="248"/>
      <c r="E62" s="248"/>
      <c r="F62" s="248"/>
      <c r="G62" s="248"/>
      <c r="H62" s="248"/>
      <c r="I62" s="317"/>
    </row>
    <row r="63" spans="1:9" s="255" customFormat="1" ht="15.75" customHeight="1">
      <c r="A63" s="241"/>
      <c r="B63" s="248"/>
      <c r="C63" s="248"/>
      <c r="D63" s="248"/>
      <c r="E63" s="248"/>
      <c r="F63" s="248"/>
      <c r="G63" s="248"/>
      <c r="H63" s="248"/>
      <c r="I63" s="317"/>
    </row>
    <row r="64" spans="1:9" s="255" customFormat="1" ht="9.75" customHeight="1">
      <c r="A64" s="241"/>
      <c r="B64" s="248"/>
      <c r="C64" s="248"/>
      <c r="D64" s="248"/>
      <c r="E64" s="248"/>
      <c r="F64" s="248"/>
      <c r="G64" s="248"/>
      <c r="H64" s="248"/>
      <c r="I64" s="317"/>
    </row>
    <row r="65" spans="1:9" s="255" customFormat="1" ht="18.75" customHeight="1">
      <c r="A65" s="241"/>
      <c r="B65" s="248"/>
      <c r="C65" s="248"/>
      <c r="D65" s="248"/>
      <c r="E65" s="248"/>
      <c r="F65" s="248"/>
      <c r="G65" s="248"/>
      <c r="H65" s="248"/>
      <c r="I65" s="317"/>
    </row>
    <row r="66" spans="1:9" s="255" customFormat="1" ht="30" customHeight="1">
      <c r="A66" s="241"/>
      <c r="B66" s="248"/>
      <c r="C66" s="248"/>
      <c r="D66" s="248"/>
      <c r="E66" s="248"/>
      <c r="F66" s="248"/>
      <c r="G66" s="248"/>
      <c r="H66" s="248"/>
      <c r="I66" s="317"/>
    </row>
    <row r="67" spans="1:9" s="255" customFormat="1" ht="33" customHeight="1">
      <c r="A67" s="241"/>
      <c r="B67" s="248"/>
      <c r="C67" s="248"/>
      <c r="D67" s="248"/>
      <c r="E67" s="248"/>
      <c r="F67" s="248"/>
      <c r="G67" s="248"/>
      <c r="H67" s="248"/>
      <c r="I67" s="317"/>
    </row>
    <row r="68" spans="1:9" s="255" customFormat="1">
      <c r="A68" s="241"/>
      <c r="B68" s="248"/>
      <c r="C68" s="248"/>
      <c r="D68" s="248"/>
      <c r="E68" s="248"/>
      <c r="F68" s="248"/>
      <c r="G68" s="248"/>
      <c r="H68" s="248"/>
      <c r="I68" s="317"/>
    </row>
    <row r="69" spans="1:9" ht="10.5" customHeight="1">
      <c r="I69" s="317"/>
    </row>
    <row r="70" spans="1:9" ht="9" customHeight="1">
      <c r="I70" s="317"/>
    </row>
    <row r="71" spans="1:9" ht="0.6" customHeight="1">
      <c r="I71" s="317"/>
    </row>
    <row r="72" spans="1:9" ht="6" customHeight="1">
      <c r="I72" s="317"/>
    </row>
    <row r="73" spans="1:9" ht="13.5" customHeight="1">
      <c r="I73" s="317"/>
    </row>
    <row r="74" spans="1:9">
      <c r="I74" s="317"/>
    </row>
    <row r="75" spans="1:9">
      <c r="I75" s="317"/>
    </row>
    <row r="76" spans="1:9" ht="12.75" customHeight="1">
      <c r="I76" s="317"/>
    </row>
    <row r="77" spans="1:9">
      <c r="I77" s="317"/>
    </row>
    <row r="78" spans="1:9">
      <c r="I78" s="317"/>
    </row>
    <row r="79" spans="1:9">
      <c r="I79" s="317"/>
    </row>
    <row r="80" spans="1:9">
      <c r="I80" s="317"/>
    </row>
    <row r="81" spans="9:9">
      <c r="I81" s="317"/>
    </row>
    <row r="82" spans="9:9">
      <c r="I82" s="317"/>
    </row>
    <row r="83" spans="9:9">
      <c r="I83" s="317"/>
    </row>
    <row r="84" spans="9:9">
      <c r="I84" s="317"/>
    </row>
    <row r="85" spans="9:9">
      <c r="I85" s="317"/>
    </row>
    <row r="86" spans="9:9">
      <c r="I86" s="317"/>
    </row>
    <row r="87" spans="9:9">
      <c r="I87" s="317"/>
    </row>
    <row r="88" spans="9:9">
      <c r="I88" s="317"/>
    </row>
    <row r="89" spans="9:9">
      <c r="I89" s="317"/>
    </row>
    <row r="90" spans="9:9">
      <c r="I90" s="317"/>
    </row>
    <row r="91" spans="9:9">
      <c r="I91" s="317"/>
    </row>
    <row r="92" spans="9:9">
      <c r="I92" s="317"/>
    </row>
    <row r="93" spans="9:9">
      <c r="I93" s="317"/>
    </row>
    <row r="94" spans="9:9">
      <c r="I94" s="317"/>
    </row>
    <row r="95" spans="9:9">
      <c r="I95" s="317"/>
    </row>
    <row r="96" spans="9:9">
      <c r="I96" s="317"/>
    </row>
    <row r="97" spans="2:9">
      <c r="B97" s="318"/>
      <c r="C97" s="318"/>
      <c r="D97" s="318"/>
      <c r="E97" s="318"/>
      <c r="F97" s="318"/>
      <c r="G97" s="318"/>
      <c r="H97" s="318"/>
      <c r="I97" s="317"/>
    </row>
    <row r="98" spans="2:9">
      <c r="B98" s="318"/>
      <c r="C98" s="318"/>
      <c r="D98" s="318"/>
      <c r="E98" s="318"/>
      <c r="F98" s="318"/>
      <c r="G98" s="318"/>
      <c r="H98" s="318"/>
      <c r="I98" s="317"/>
    </row>
    <row r="99" spans="2:9">
      <c r="B99" s="318"/>
      <c r="C99" s="318"/>
      <c r="D99" s="318"/>
      <c r="E99" s="318"/>
      <c r="F99" s="318"/>
      <c r="G99" s="318"/>
      <c r="H99" s="318"/>
      <c r="I99" s="317"/>
    </row>
    <row r="100" spans="2:9">
      <c r="B100" s="318"/>
      <c r="C100" s="318"/>
      <c r="D100" s="318"/>
      <c r="E100" s="318"/>
      <c r="F100" s="318"/>
      <c r="G100" s="318"/>
      <c r="H100" s="318"/>
      <c r="I100" s="317"/>
    </row>
    <row r="101" spans="2:9">
      <c r="B101" s="317"/>
      <c r="C101" s="317"/>
      <c r="D101" s="317"/>
      <c r="E101" s="317"/>
      <c r="F101" s="317"/>
      <c r="G101" s="317"/>
      <c r="H101" s="317"/>
      <c r="I101" s="317"/>
    </row>
    <row r="102" spans="2:9">
      <c r="B102" s="317"/>
      <c r="C102" s="317"/>
      <c r="D102" s="317"/>
      <c r="E102" s="317"/>
      <c r="F102" s="317"/>
      <c r="G102" s="317"/>
      <c r="H102" s="317"/>
      <c r="I102" s="317"/>
    </row>
    <row r="103" spans="2:9">
      <c r="B103" s="317"/>
      <c r="C103" s="317"/>
      <c r="D103" s="317"/>
      <c r="E103" s="317"/>
      <c r="F103" s="317"/>
      <c r="G103" s="317"/>
      <c r="H103" s="317"/>
      <c r="I103" s="317"/>
    </row>
    <row r="104" spans="2:9">
      <c r="B104" s="317"/>
      <c r="C104" s="317"/>
      <c r="D104" s="317"/>
      <c r="E104" s="317"/>
      <c r="F104" s="317"/>
      <c r="G104" s="317"/>
      <c r="H104" s="317"/>
      <c r="I104" s="317"/>
    </row>
    <row r="105" spans="2:9">
      <c r="B105" s="317"/>
      <c r="C105" s="317"/>
      <c r="D105" s="317"/>
      <c r="E105" s="317"/>
      <c r="F105" s="317"/>
      <c r="G105" s="317"/>
      <c r="H105" s="317"/>
      <c r="I105" s="317"/>
    </row>
    <row r="106" spans="2:9">
      <c r="B106" s="317"/>
      <c r="C106" s="317"/>
      <c r="D106" s="317"/>
      <c r="E106" s="317"/>
      <c r="F106" s="317"/>
      <c r="G106" s="317"/>
      <c r="H106" s="317"/>
      <c r="I106" s="317"/>
    </row>
    <row r="107" spans="2:9">
      <c r="B107" s="317"/>
      <c r="C107" s="317"/>
      <c r="D107" s="317"/>
      <c r="E107" s="317"/>
      <c r="F107" s="317"/>
      <c r="G107" s="317"/>
      <c r="H107" s="317"/>
      <c r="I107" s="317"/>
    </row>
    <row r="108" spans="2:9">
      <c r="B108" s="317"/>
      <c r="C108" s="317"/>
      <c r="D108" s="317"/>
      <c r="E108" s="317"/>
      <c r="F108" s="317"/>
      <c r="G108" s="317"/>
      <c r="H108" s="317"/>
      <c r="I108" s="317"/>
    </row>
    <row r="109" spans="2:9">
      <c r="B109" s="317"/>
      <c r="C109" s="317"/>
      <c r="D109" s="317"/>
      <c r="E109" s="317"/>
      <c r="F109" s="317"/>
      <c r="G109" s="317"/>
      <c r="H109" s="317"/>
      <c r="I109" s="317"/>
    </row>
    <row r="110" spans="2:9">
      <c r="B110" s="317"/>
      <c r="C110" s="317"/>
      <c r="D110" s="317"/>
      <c r="E110" s="317"/>
      <c r="F110" s="317"/>
      <c r="G110" s="317"/>
      <c r="H110" s="317"/>
      <c r="I110" s="317"/>
    </row>
    <row r="111" spans="2:9">
      <c r="I111" s="317"/>
    </row>
    <row r="112" spans="2:9">
      <c r="I112" s="317"/>
    </row>
    <row r="113" spans="9:9">
      <c r="I113" s="317"/>
    </row>
  </sheetData>
  <sheetProtection algorithmName="SHA-512" hashValue="i+PEFEbANOIzgOHaRzKCxiXiAXvtFp5OMBmb6A+LKqPzMR1hv66BbU3PA9MyMDzqkTtditJZXJrdTGJh8RbbOQ==" saltValue="8q55Za2EEFMF9bi3c0KdsA==" spinCount="100000" sheet="1" formatCells="0" formatColumns="0" formatRows="0"/>
  <mergeCells count="64">
    <mergeCell ref="A59:H59"/>
    <mergeCell ref="A56:B56"/>
    <mergeCell ref="C52:D52"/>
    <mergeCell ref="C55:D55"/>
    <mergeCell ref="C56:D56"/>
    <mergeCell ref="E52:F52"/>
    <mergeCell ref="E54:F54"/>
    <mergeCell ref="E55:F55"/>
    <mergeCell ref="E56:F56"/>
    <mergeCell ref="C54:D54"/>
    <mergeCell ref="G52:H52"/>
    <mergeCell ref="G54:H54"/>
    <mergeCell ref="G55:H55"/>
    <mergeCell ref="G56:H56"/>
    <mergeCell ref="A52:B52"/>
    <mergeCell ref="E46:F46"/>
    <mergeCell ref="A57:H57"/>
    <mergeCell ref="A58:H58"/>
    <mergeCell ref="A50:H50"/>
    <mergeCell ref="A54:B54"/>
    <mergeCell ref="A55:B55"/>
    <mergeCell ref="A51:H51"/>
    <mergeCell ref="E47:F47"/>
    <mergeCell ref="A21:C21"/>
    <mergeCell ref="A22:C22"/>
    <mergeCell ref="E44:F44"/>
    <mergeCell ref="E45:F45"/>
    <mergeCell ref="A25:H25"/>
    <mergeCell ref="H42:H43"/>
    <mergeCell ref="A23:C23"/>
    <mergeCell ref="A24:C24"/>
    <mergeCell ref="A26:C26"/>
    <mergeCell ref="A27:C27"/>
    <mergeCell ref="A28:C28"/>
    <mergeCell ref="A29:C29"/>
    <mergeCell ref="E35:H36"/>
    <mergeCell ref="E42:F43"/>
    <mergeCell ref="E31:H31"/>
    <mergeCell ref="E37:H38"/>
    <mergeCell ref="F6:G6"/>
    <mergeCell ref="A20:C20"/>
    <mergeCell ref="A15:C15"/>
    <mergeCell ref="A16:C16"/>
    <mergeCell ref="A17:C17"/>
    <mergeCell ref="A19:C19"/>
    <mergeCell ref="D11:E11"/>
    <mergeCell ref="A18:H18"/>
    <mergeCell ref="D8:E8"/>
    <mergeCell ref="C3:H3"/>
    <mergeCell ref="A11:C11"/>
    <mergeCell ref="A12:C12"/>
    <mergeCell ref="A13:C13"/>
    <mergeCell ref="A14:C14"/>
    <mergeCell ref="A1:B5"/>
    <mergeCell ref="C4:F4"/>
    <mergeCell ref="G4:H4"/>
    <mergeCell ref="C5:H5"/>
    <mergeCell ref="B9:E9"/>
    <mergeCell ref="B6:E6"/>
    <mergeCell ref="D7:E7"/>
    <mergeCell ref="A10:E10"/>
    <mergeCell ref="C1:H1"/>
    <mergeCell ref="C2:H2"/>
    <mergeCell ref="F8:G8"/>
  </mergeCells>
  <dataValidations count="1">
    <dataValidation type="list" allowBlank="1" showInputMessage="1" showErrorMessage="1" sqref="E37">
      <formula1>$I$37:$I$38</formula1>
    </dataValidation>
  </dataValidation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www.umv.gov.co111311&amp;C&amp;6PRO-FM-008
Página 2 de 2</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G55:H55</xm:sqref>
        </x14:dataValidation>
        <x14:dataValidation type="list" allowBlank="1" showInputMessage="1" showErrorMessage="1">
          <x14:formula1>
            <xm:f>firmas!$A$2:$A$31</xm:f>
          </x14:formula1>
          <xm:sqref>C55:D55</xm:sqref>
        </x14:dataValidation>
        <x14:dataValidation type="list" allowBlank="1" showInputMessage="1" showErrorMessage="1">
          <x14:formula1>
            <xm:f>firmas!$A$33:$A$35</xm:f>
          </x14:formula1>
          <xm:sqref>E55:F55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topLeftCell="A30" workbookViewId="0">
      <selection activeCell="B40" sqref="B40"/>
    </sheetView>
  </sheetViews>
  <sheetFormatPr baseColWidth="10" defaultRowHeight="12.75"/>
  <cols>
    <col min="1" max="2" width="21.7109375" style="320" customWidth="1"/>
    <col min="3" max="3" width="22.7109375" style="320" customWidth="1"/>
    <col min="4" max="16384" width="11.42578125" style="320"/>
  </cols>
  <sheetData>
    <row r="1" spans="1:3">
      <c r="A1" s="321" t="s">
        <v>545</v>
      </c>
      <c r="B1" s="321" t="s">
        <v>546</v>
      </c>
      <c r="C1" s="321" t="s">
        <v>547</v>
      </c>
    </row>
    <row r="2" spans="1:3" ht="39.950000000000003" customHeight="1">
      <c r="A2" s="322" t="s">
        <v>526</v>
      </c>
      <c r="B2" s="322" t="s">
        <v>97</v>
      </c>
      <c r="C2" s="323">
        <v>2</v>
      </c>
    </row>
    <row r="3" spans="1:3" ht="39.950000000000003" customHeight="1">
      <c r="A3" s="322" t="s">
        <v>527</v>
      </c>
      <c r="B3" s="322" t="s">
        <v>97</v>
      </c>
      <c r="C3" s="323">
        <v>3</v>
      </c>
    </row>
    <row r="4" spans="1:3" ht="39.950000000000003" customHeight="1">
      <c r="A4" s="322" t="s">
        <v>528</v>
      </c>
      <c r="B4" s="322" t="s">
        <v>97</v>
      </c>
      <c r="C4" s="323">
        <v>7</v>
      </c>
    </row>
    <row r="5" spans="1:3" ht="39.950000000000003" customHeight="1">
      <c r="A5" s="322" t="s">
        <v>529</v>
      </c>
      <c r="B5" s="322" t="s">
        <v>97</v>
      </c>
      <c r="C5" s="324"/>
    </row>
    <row r="6" spans="1:3" ht="39.950000000000003" customHeight="1">
      <c r="A6" s="322" t="s">
        <v>530</v>
      </c>
      <c r="B6" s="322" t="s">
        <v>97</v>
      </c>
      <c r="C6" s="323">
        <v>6</v>
      </c>
    </row>
    <row r="7" spans="1:3" ht="39.950000000000003" customHeight="1">
      <c r="A7" s="322" t="s">
        <v>531</v>
      </c>
      <c r="B7" s="322" t="s">
        <v>97</v>
      </c>
      <c r="C7" s="323">
        <v>4</v>
      </c>
    </row>
    <row r="8" spans="1:3" ht="39.950000000000003" customHeight="1">
      <c r="A8" s="322" t="s">
        <v>534</v>
      </c>
      <c r="B8" s="322" t="s">
        <v>97</v>
      </c>
      <c r="C8" s="325"/>
    </row>
    <row r="9" spans="1:3" ht="39.950000000000003" customHeight="1">
      <c r="A9" s="322" t="s">
        <v>538</v>
      </c>
      <c r="B9" s="322" t="s">
        <v>97</v>
      </c>
      <c r="C9" s="325"/>
    </row>
    <row r="10" spans="1:3" ht="39.950000000000003" customHeight="1">
      <c r="A10" s="1400" t="s">
        <v>549</v>
      </c>
      <c r="B10" s="1400" t="s">
        <v>97</v>
      </c>
      <c r="C10" s="1401"/>
    </row>
    <row r="11" spans="1:3" ht="39.950000000000003" customHeight="1">
      <c r="A11" s="1400" t="s">
        <v>828</v>
      </c>
      <c r="B11" s="1400" t="s">
        <v>97</v>
      </c>
      <c r="C11" s="327"/>
    </row>
    <row r="12" spans="1:3" ht="39.950000000000003" customHeight="1">
      <c r="A12" s="1400" t="s">
        <v>829</v>
      </c>
      <c r="B12" s="1400" t="s">
        <v>97</v>
      </c>
      <c r="C12" s="1401"/>
    </row>
    <row r="13" spans="1:3" ht="39.950000000000003" customHeight="1">
      <c r="A13" s="322" t="s">
        <v>535</v>
      </c>
      <c r="B13" s="322" t="s">
        <v>561</v>
      </c>
      <c r="C13" s="323">
        <v>1</v>
      </c>
    </row>
    <row r="14" spans="1:3" ht="39.950000000000003" customHeight="1">
      <c r="A14" s="322" t="s">
        <v>549</v>
      </c>
      <c r="B14" s="322" t="s">
        <v>97</v>
      </c>
      <c r="C14" s="323"/>
    </row>
    <row r="15" spans="1:3" ht="39.950000000000003" customHeight="1">
      <c r="A15" s="1402" t="s">
        <v>525</v>
      </c>
      <c r="B15" s="1402" t="s">
        <v>550</v>
      </c>
      <c r="C15" s="1401"/>
    </row>
    <row r="16" spans="1:3" ht="39.950000000000003" customHeight="1">
      <c r="A16" s="1402" t="s">
        <v>551</v>
      </c>
      <c r="B16" s="1402" t="s">
        <v>550</v>
      </c>
    </row>
    <row r="17" spans="1:3" ht="39.950000000000003" customHeight="1">
      <c r="A17" s="1402" t="s">
        <v>532</v>
      </c>
      <c r="B17" s="1402" t="s">
        <v>550</v>
      </c>
      <c r="C17" s="1401"/>
    </row>
    <row r="18" spans="1:3" ht="39.950000000000003" customHeight="1">
      <c r="A18" s="1402" t="s">
        <v>830</v>
      </c>
      <c r="B18" s="1402" t="s">
        <v>550</v>
      </c>
      <c r="C18" s="1401"/>
    </row>
    <row r="19" spans="1:3" ht="39.950000000000003" customHeight="1">
      <c r="A19" s="1402" t="s">
        <v>831</v>
      </c>
      <c r="B19" s="1402" t="s">
        <v>550</v>
      </c>
      <c r="C19" s="1401"/>
    </row>
    <row r="20" spans="1:3" ht="39.950000000000003" customHeight="1">
      <c r="A20" s="1402" t="s">
        <v>832</v>
      </c>
      <c r="B20" s="1402" t="s">
        <v>550</v>
      </c>
      <c r="C20" s="1401"/>
    </row>
    <row r="21" spans="1:3" ht="39.950000000000003" customHeight="1">
      <c r="A21" s="1402" t="s">
        <v>833</v>
      </c>
      <c r="B21" s="1402" t="s">
        <v>550</v>
      </c>
      <c r="C21" s="1401"/>
    </row>
    <row r="22" spans="1:3" ht="39.950000000000003" customHeight="1">
      <c r="A22" s="1402" t="s">
        <v>834</v>
      </c>
      <c r="B22" s="1402" t="s">
        <v>550</v>
      </c>
    </row>
    <row r="23" spans="1:3" ht="39.950000000000003" customHeight="1">
      <c r="A23" s="1402" t="s">
        <v>835</v>
      </c>
      <c r="B23" s="1402" t="s">
        <v>550</v>
      </c>
    </row>
    <row r="24" spans="1:3" ht="39.950000000000003" customHeight="1">
      <c r="A24" s="1402" t="s">
        <v>836</v>
      </c>
      <c r="B24" s="1402" t="s">
        <v>550</v>
      </c>
    </row>
    <row r="25" spans="1:3" ht="39.950000000000003" customHeight="1">
      <c r="A25" s="1402" t="s">
        <v>837</v>
      </c>
      <c r="B25" s="1402" t="s">
        <v>550</v>
      </c>
      <c r="C25" s="1401"/>
    </row>
    <row r="26" spans="1:3" ht="39.950000000000003" customHeight="1">
      <c r="A26" s="1402" t="s">
        <v>838</v>
      </c>
      <c r="B26" s="1402" t="s">
        <v>550</v>
      </c>
      <c r="C26" s="1401"/>
    </row>
    <row r="27" spans="1:3" ht="39.950000000000003" customHeight="1">
      <c r="A27" s="1402" t="s">
        <v>839</v>
      </c>
      <c r="B27" s="1402" t="s">
        <v>550</v>
      </c>
      <c r="C27" s="1401"/>
    </row>
    <row r="28" spans="1:3" ht="39.950000000000003" customHeight="1">
      <c r="A28" s="1402" t="s">
        <v>840</v>
      </c>
      <c r="B28" s="1402" t="s">
        <v>550</v>
      </c>
      <c r="C28" s="1401"/>
    </row>
    <row r="29" spans="1:3" ht="39.950000000000003" customHeight="1">
      <c r="A29" s="1402" t="s">
        <v>841</v>
      </c>
      <c r="B29" s="1402" t="s">
        <v>550</v>
      </c>
      <c r="C29" s="1401"/>
    </row>
    <row r="30" spans="1:3" ht="39.950000000000003" customHeight="1">
      <c r="A30" s="1402" t="s">
        <v>842</v>
      </c>
      <c r="B30" s="1402" t="s">
        <v>550</v>
      </c>
      <c r="C30" s="1401"/>
    </row>
    <row r="31" spans="1:3" ht="39.950000000000003" customHeight="1">
      <c r="A31" s="330" t="s">
        <v>560</v>
      </c>
      <c r="B31" s="331"/>
      <c r="C31" s="323"/>
    </row>
    <row r="32" spans="1:3" ht="39.950000000000003" customHeight="1">
      <c r="A32" s="1382"/>
      <c r="B32" s="1383"/>
      <c r="C32" s="1382" t="s">
        <v>558</v>
      </c>
    </row>
    <row r="33" spans="1:3" ht="39.950000000000003" customHeight="1">
      <c r="A33" s="326" t="s">
        <v>559</v>
      </c>
      <c r="B33" s="522" t="s">
        <v>315</v>
      </c>
      <c r="C33" s="323"/>
    </row>
    <row r="34" spans="1:3" ht="39.950000000000003" customHeight="1">
      <c r="A34" s="322" t="s">
        <v>535</v>
      </c>
      <c r="B34" s="326" t="s">
        <v>548</v>
      </c>
      <c r="C34" s="323">
        <v>1</v>
      </c>
    </row>
    <row r="35" spans="1:3" ht="39.950000000000003" customHeight="1">
      <c r="A35" s="330" t="s">
        <v>560</v>
      </c>
      <c r="B35" s="331" t="s">
        <v>560</v>
      </c>
      <c r="C35" s="323"/>
    </row>
    <row r="36" spans="1:3" ht="39.950000000000003" customHeight="1">
      <c r="A36" s="1384"/>
      <c r="B36" s="1385"/>
      <c r="C36" s="1384" t="s">
        <v>23</v>
      </c>
    </row>
    <row r="37" spans="1:3" ht="39.950000000000003" customHeight="1">
      <c r="A37" s="322" t="s">
        <v>843</v>
      </c>
      <c r="B37" s="522" t="s">
        <v>844</v>
      </c>
      <c r="C37" s="325"/>
    </row>
    <row r="38" spans="1:3" ht="39.950000000000003" customHeight="1">
      <c r="A38" s="322" t="s">
        <v>845</v>
      </c>
      <c r="B38" s="1403" t="s">
        <v>846</v>
      </c>
      <c r="C38" s="325"/>
    </row>
    <row r="39" spans="1:3" ht="39.950000000000003" customHeight="1">
      <c r="A39" s="328" t="s">
        <v>560</v>
      </c>
      <c r="B39" s="329" t="s">
        <v>560</v>
      </c>
      <c r="C39" s="325"/>
    </row>
  </sheetData>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
  <sheetViews>
    <sheetView workbookViewId="0">
      <selection activeCell="F28" sqref="C28:H28"/>
    </sheetView>
  </sheetViews>
  <sheetFormatPr baseColWidth="10" defaultRowHeight="15"/>
  <cols>
    <col min="1" max="10" width="14.140625" customWidth="1"/>
  </cols>
  <sheetData>
    <row r="1" spans="1:24" ht="47.25">
      <c r="A1" s="322" t="s">
        <v>526</v>
      </c>
      <c r="B1" s="322" t="s">
        <v>527</v>
      </c>
      <c r="C1" s="322" t="s">
        <v>528</v>
      </c>
      <c r="D1" s="322" t="s">
        <v>529</v>
      </c>
      <c r="E1" s="322" t="s">
        <v>530</v>
      </c>
      <c r="F1" s="322" t="s">
        <v>531</v>
      </c>
      <c r="G1" s="322" t="s">
        <v>533</v>
      </c>
      <c r="H1" s="322" t="s">
        <v>534</v>
      </c>
      <c r="I1" s="322" t="s">
        <v>536</v>
      </c>
      <c r="J1" s="322" t="s">
        <v>538</v>
      </c>
      <c r="K1" s="322" t="s">
        <v>535</v>
      </c>
      <c r="L1" s="322" t="s">
        <v>549</v>
      </c>
      <c r="M1" s="326" t="s">
        <v>523</v>
      </c>
      <c r="N1" s="326" t="s">
        <v>524</v>
      </c>
      <c r="O1" s="326" t="s">
        <v>525</v>
      </c>
      <c r="P1" s="322" t="s">
        <v>551</v>
      </c>
      <c r="Q1" s="326" t="s">
        <v>532</v>
      </c>
      <c r="R1" s="326" t="s">
        <v>552</v>
      </c>
      <c r="S1" s="326" t="s">
        <v>553</v>
      </c>
      <c r="T1" s="326" t="s">
        <v>554</v>
      </c>
      <c r="U1" s="322" t="s">
        <v>555</v>
      </c>
      <c r="V1" s="322" t="s">
        <v>556</v>
      </c>
      <c r="W1" s="322" t="s">
        <v>537</v>
      </c>
      <c r="X1" s="326" t="s">
        <v>557</v>
      </c>
    </row>
    <row r="2" spans="1:24">
      <c r="L2" t="s">
        <v>550</v>
      </c>
      <c r="M2" t="s">
        <v>550</v>
      </c>
      <c r="N2" t="s">
        <v>550</v>
      </c>
      <c r="O2" t="s">
        <v>550</v>
      </c>
      <c r="P2" t="s">
        <v>550</v>
      </c>
      <c r="Q2" t="s">
        <v>550</v>
      </c>
      <c r="R2" t="s">
        <v>550</v>
      </c>
      <c r="S2" t="s">
        <v>550</v>
      </c>
      <c r="T2" t="s">
        <v>550</v>
      </c>
      <c r="U2" t="s">
        <v>550</v>
      </c>
      <c r="V2" t="s">
        <v>550</v>
      </c>
      <c r="W2" t="s">
        <v>550</v>
      </c>
      <c r="X2" t="s">
        <v>550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H51"/>
  <sheetViews>
    <sheetView showGridLines="0" view="pageBreakPreview" topLeftCell="A31" zoomScaleSheetLayoutView="100" workbookViewId="0">
      <selection activeCell="L39" sqref="F39:S39"/>
    </sheetView>
  </sheetViews>
  <sheetFormatPr baseColWidth="10" defaultColWidth="2.7109375" defaultRowHeight="12.95" customHeight="1"/>
  <cols>
    <col min="1" max="4" width="4.5703125" style="92" customWidth="1"/>
    <col min="5" max="5" width="2.85546875" style="92" customWidth="1"/>
    <col min="6" max="6" width="7" style="92" customWidth="1"/>
    <col min="7" max="7" width="4.7109375" style="92" customWidth="1"/>
    <col min="8" max="8" width="3.85546875" style="92" customWidth="1"/>
    <col min="9" max="9" width="4" style="92" customWidth="1"/>
    <col min="10" max="10" width="4.140625" style="92" customWidth="1"/>
    <col min="11" max="11" width="2.28515625" style="92" customWidth="1"/>
    <col min="12" max="12" width="3.140625" style="92" customWidth="1"/>
    <col min="13" max="13" width="2.42578125" style="92" customWidth="1"/>
    <col min="14" max="14" width="3.85546875" style="92" customWidth="1"/>
    <col min="15" max="15" width="3.28515625" style="92" customWidth="1"/>
    <col min="16" max="16" width="3.42578125" style="92" customWidth="1"/>
    <col min="17" max="17" width="3" style="92" customWidth="1"/>
    <col min="18" max="18" width="2.7109375" style="92" customWidth="1"/>
    <col min="19" max="19" width="3" style="92" customWidth="1"/>
    <col min="20" max="20" width="3.42578125" style="92" customWidth="1"/>
    <col min="21" max="21" width="4.5703125" style="92" customWidth="1"/>
    <col min="22" max="22" width="5.85546875" style="92" customWidth="1"/>
    <col min="23" max="23" width="3.28515625" style="92" customWidth="1"/>
    <col min="24" max="24" width="3.42578125" style="92" customWidth="1"/>
    <col min="25" max="26" width="2.42578125" style="92" customWidth="1"/>
    <col min="27" max="27" width="2.7109375" style="92"/>
    <col min="28" max="28" width="4" style="92" bestFit="1" customWidth="1"/>
    <col min="29" max="256" width="2.7109375" style="92"/>
    <col min="257" max="282" width="4.5703125" style="92" customWidth="1"/>
    <col min="283" max="512" width="2.7109375" style="92"/>
    <col min="513" max="538" width="4.5703125" style="92" customWidth="1"/>
    <col min="539" max="768" width="2.7109375" style="92"/>
    <col min="769" max="794" width="4.5703125" style="92" customWidth="1"/>
    <col min="795" max="1024" width="2.7109375" style="92"/>
    <col min="1025" max="1050" width="4.5703125" style="92" customWidth="1"/>
    <col min="1051" max="1280" width="2.7109375" style="92"/>
    <col min="1281" max="1306" width="4.5703125" style="92" customWidth="1"/>
    <col min="1307" max="1536" width="2.7109375" style="92"/>
    <col min="1537" max="1562" width="4.5703125" style="92" customWidth="1"/>
    <col min="1563" max="1792" width="2.7109375" style="92"/>
    <col min="1793" max="1818" width="4.5703125" style="92" customWidth="1"/>
    <col min="1819" max="2048" width="2.7109375" style="92"/>
    <col min="2049" max="2074" width="4.5703125" style="92" customWidth="1"/>
    <col min="2075" max="2304" width="2.7109375" style="92"/>
    <col min="2305" max="2330" width="4.5703125" style="92" customWidth="1"/>
    <col min="2331" max="2560" width="2.7109375" style="92"/>
    <col min="2561" max="2586" width="4.5703125" style="92" customWidth="1"/>
    <col min="2587" max="2816" width="2.7109375" style="92"/>
    <col min="2817" max="2842" width="4.5703125" style="92" customWidth="1"/>
    <col min="2843" max="3072" width="2.7109375" style="92"/>
    <col min="3073" max="3098" width="4.5703125" style="92" customWidth="1"/>
    <col min="3099" max="3328" width="2.7109375" style="92"/>
    <col min="3329" max="3354" width="4.5703125" style="92" customWidth="1"/>
    <col min="3355" max="3584" width="2.7109375" style="92"/>
    <col min="3585" max="3610" width="4.5703125" style="92" customWidth="1"/>
    <col min="3611" max="3840" width="2.7109375" style="92"/>
    <col min="3841" max="3866" width="4.5703125" style="92" customWidth="1"/>
    <col min="3867" max="4096" width="2.7109375" style="92"/>
    <col min="4097" max="4122" width="4.5703125" style="92" customWidth="1"/>
    <col min="4123" max="4352" width="2.7109375" style="92"/>
    <col min="4353" max="4378" width="4.5703125" style="92" customWidth="1"/>
    <col min="4379" max="4608" width="2.7109375" style="92"/>
    <col min="4609" max="4634" width="4.5703125" style="92" customWidth="1"/>
    <col min="4635" max="4864" width="2.7109375" style="92"/>
    <col min="4865" max="4890" width="4.5703125" style="92" customWidth="1"/>
    <col min="4891" max="5120" width="2.7109375" style="92"/>
    <col min="5121" max="5146" width="4.5703125" style="92" customWidth="1"/>
    <col min="5147" max="5376" width="2.7109375" style="92"/>
    <col min="5377" max="5402" width="4.5703125" style="92" customWidth="1"/>
    <col min="5403" max="5632" width="2.7109375" style="92"/>
    <col min="5633" max="5658" width="4.5703125" style="92" customWidth="1"/>
    <col min="5659" max="5888" width="2.7109375" style="92"/>
    <col min="5889" max="5914" width="4.5703125" style="92" customWidth="1"/>
    <col min="5915" max="6144" width="2.7109375" style="92"/>
    <col min="6145" max="6170" width="4.5703125" style="92" customWidth="1"/>
    <col min="6171" max="6400" width="2.7109375" style="92"/>
    <col min="6401" max="6426" width="4.5703125" style="92" customWidth="1"/>
    <col min="6427" max="6656" width="2.7109375" style="92"/>
    <col min="6657" max="6682" width="4.5703125" style="92" customWidth="1"/>
    <col min="6683" max="6912" width="2.7109375" style="92"/>
    <col min="6913" max="6938" width="4.5703125" style="92" customWidth="1"/>
    <col min="6939" max="7168" width="2.7109375" style="92"/>
    <col min="7169" max="7194" width="4.5703125" style="92" customWidth="1"/>
    <col min="7195" max="7424" width="2.7109375" style="92"/>
    <col min="7425" max="7450" width="4.5703125" style="92" customWidth="1"/>
    <col min="7451" max="7680" width="2.7109375" style="92"/>
    <col min="7681" max="7706" width="4.5703125" style="92" customWidth="1"/>
    <col min="7707" max="7936" width="2.7109375" style="92"/>
    <col min="7937" max="7962" width="4.5703125" style="92" customWidth="1"/>
    <col min="7963" max="8192" width="2.7109375" style="92"/>
    <col min="8193" max="8218" width="4.5703125" style="92" customWidth="1"/>
    <col min="8219" max="8448" width="2.7109375" style="92"/>
    <col min="8449" max="8474" width="4.5703125" style="92" customWidth="1"/>
    <col min="8475" max="8704" width="2.7109375" style="92"/>
    <col min="8705" max="8730" width="4.5703125" style="92" customWidth="1"/>
    <col min="8731" max="8960" width="2.7109375" style="92"/>
    <col min="8961" max="8986" width="4.5703125" style="92" customWidth="1"/>
    <col min="8987" max="9216" width="2.7109375" style="92"/>
    <col min="9217" max="9242" width="4.5703125" style="92" customWidth="1"/>
    <col min="9243" max="9472" width="2.7109375" style="92"/>
    <col min="9473" max="9498" width="4.5703125" style="92" customWidth="1"/>
    <col min="9499" max="9728" width="2.7109375" style="92"/>
    <col min="9729" max="9754" width="4.5703125" style="92" customWidth="1"/>
    <col min="9755" max="9984" width="2.7109375" style="92"/>
    <col min="9985" max="10010" width="4.5703125" style="92" customWidth="1"/>
    <col min="10011" max="10240" width="2.7109375" style="92"/>
    <col min="10241" max="10266" width="4.5703125" style="92" customWidth="1"/>
    <col min="10267" max="10496" width="2.7109375" style="92"/>
    <col min="10497" max="10522" width="4.5703125" style="92" customWidth="1"/>
    <col min="10523" max="10752" width="2.7109375" style="92"/>
    <col min="10753" max="10778" width="4.5703125" style="92" customWidth="1"/>
    <col min="10779" max="11008" width="2.7109375" style="92"/>
    <col min="11009" max="11034" width="4.5703125" style="92" customWidth="1"/>
    <col min="11035" max="11264" width="2.7109375" style="92"/>
    <col min="11265" max="11290" width="4.5703125" style="92" customWidth="1"/>
    <col min="11291" max="11520" width="2.7109375" style="92"/>
    <col min="11521" max="11546" width="4.5703125" style="92" customWidth="1"/>
    <col min="11547" max="11776" width="2.7109375" style="92"/>
    <col min="11777" max="11802" width="4.5703125" style="92" customWidth="1"/>
    <col min="11803" max="12032" width="2.7109375" style="92"/>
    <col min="12033" max="12058" width="4.5703125" style="92" customWidth="1"/>
    <col min="12059" max="12288" width="2.7109375" style="92"/>
    <col min="12289" max="12314" width="4.5703125" style="92" customWidth="1"/>
    <col min="12315" max="12544" width="2.7109375" style="92"/>
    <col min="12545" max="12570" width="4.5703125" style="92" customWidth="1"/>
    <col min="12571" max="12800" width="2.7109375" style="92"/>
    <col min="12801" max="12826" width="4.5703125" style="92" customWidth="1"/>
    <col min="12827" max="13056" width="2.7109375" style="92"/>
    <col min="13057" max="13082" width="4.5703125" style="92" customWidth="1"/>
    <col min="13083" max="13312" width="2.7109375" style="92"/>
    <col min="13313" max="13338" width="4.5703125" style="92" customWidth="1"/>
    <col min="13339" max="13568" width="2.7109375" style="92"/>
    <col min="13569" max="13594" width="4.5703125" style="92" customWidth="1"/>
    <col min="13595" max="13824" width="2.7109375" style="92"/>
    <col min="13825" max="13850" width="4.5703125" style="92" customWidth="1"/>
    <col min="13851" max="14080" width="2.7109375" style="92"/>
    <col min="14081" max="14106" width="4.5703125" style="92" customWidth="1"/>
    <col min="14107" max="14336" width="2.7109375" style="92"/>
    <col min="14337" max="14362" width="4.5703125" style="92" customWidth="1"/>
    <col min="14363" max="14592" width="2.7109375" style="92"/>
    <col min="14593" max="14618" width="4.5703125" style="92" customWidth="1"/>
    <col min="14619" max="14848" width="2.7109375" style="92"/>
    <col min="14849" max="14874" width="4.5703125" style="92" customWidth="1"/>
    <col min="14875" max="15104" width="2.7109375" style="92"/>
    <col min="15105" max="15130" width="4.5703125" style="92" customWidth="1"/>
    <col min="15131" max="15360" width="2.7109375" style="92"/>
    <col min="15361" max="15386" width="4.5703125" style="92" customWidth="1"/>
    <col min="15387" max="15616" width="2.7109375" style="92"/>
    <col min="15617" max="15642" width="4.5703125" style="92" customWidth="1"/>
    <col min="15643" max="15872" width="2.7109375" style="92"/>
    <col min="15873" max="15898" width="4.5703125" style="92" customWidth="1"/>
    <col min="15899" max="16128" width="2.7109375" style="92"/>
    <col min="16129" max="16154" width="4.5703125" style="92" customWidth="1"/>
    <col min="16155" max="16384" width="2.7109375" style="92"/>
  </cols>
  <sheetData>
    <row r="1" spans="1:57" ht="15" customHeight="1">
      <c r="A1" s="2110"/>
      <c r="B1" s="2111"/>
      <c r="C1" s="2111"/>
      <c r="D1" s="2111"/>
      <c r="E1" s="2112"/>
      <c r="F1" s="2116" t="s">
        <v>37</v>
      </c>
      <c r="G1" s="2117"/>
      <c r="H1" s="2117"/>
      <c r="I1" s="2117"/>
      <c r="J1" s="2117"/>
      <c r="K1" s="2117"/>
      <c r="L1" s="2117"/>
      <c r="M1" s="2117"/>
      <c r="N1" s="2117"/>
      <c r="O1" s="2117"/>
      <c r="P1" s="2117"/>
      <c r="Q1" s="2117"/>
      <c r="R1" s="2117"/>
      <c r="S1" s="2117"/>
      <c r="T1" s="2117"/>
      <c r="U1" s="2117"/>
      <c r="V1" s="2117"/>
      <c r="W1" s="2117"/>
      <c r="X1" s="2117"/>
      <c r="Y1" s="2117"/>
      <c r="Z1" s="2118"/>
      <c r="AG1" s="93"/>
      <c r="AH1" s="93"/>
      <c r="AI1" s="93"/>
      <c r="AJ1" s="93"/>
      <c r="AK1" s="94"/>
      <c r="AL1" s="94"/>
      <c r="AM1" s="94"/>
      <c r="AN1" s="94"/>
      <c r="AO1" s="94"/>
      <c r="AP1" s="94"/>
      <c r="AQ1" s="94"/>
      <c r="AR1" s="94"/>
      <c r="AS1" s="94"/>
      <c r="AT1" s="94"/>
      <c r="AU1" s="94"/>
      <c r="AV1" s="94"/>
      <c r="AW1" s="94"/>
      <c r="AX1" s="94"/>
      <c r="AY1" s="94"/>
      <c r="AZ1" s="94"/>
      <c r="BA1" s="94"/>
    </row>
    <row r="2" spans="1:57" ht="27.95" customHeight="1">
      <c r="A2" s="2113"/>
      <c r="B2" s="2114"/>
      <c r="C2" s="2114"/>
      <c r="D2" s="2114"/>
      <c r="E2" s="2115"/>
      <c r="F2" s="2119" t="s">
        <v>642</v>
      </c>
      <c r="G2" s="2120"/>
      <c r="H2" s="2120"/>
      <c r="I2" s="2120"/>
      <c r="J2" s="2120"/>
      <c r="K2" s="2120"/>
      <c r="L2" s="2120"/>
      <c r="M2" s="2120"/>
      <c r="N2" s="2120"/>
      <c r="O2" s="2120"/>
      <c r="P2" s="2120"/>
      <c r="Q2" s="2120"/>
      <c r="R2" s="2120"/>
      <c r="S2" s="2120"/>
      <c r="T2" s="2120"/>
      <c r="U2" s="2120"/>
      <c r="V2" s="2120"/>
      <c r="W2" s="2120"/>
      <c r="X2" s="2120"/>
      <c r="Y2" s="2120"/>
      <c r="Z2" s="2121"/>
      <c r="AG2" s="93"/>
      <c r="AH2" s="93"/>
      <c r="AI2" s="93"/>
      <c r="AJ2" s="93"/>
      <c r="AK2" s="94"/>
      <c r="AL2" s="94"/>
      <c r="AM2" s="94"/>
      <c r="AN2" s="94"/>
      <c r="AO2" s="94"/>
      <c r="AP2" s="94"/>
      <c r="AQ2" s="94"/>
      <c r="AR2" s="94"/>
      <c r="AS2" s="94"/>
      <c r="AT2" s="94"/>
      <c r="AU2" s="94"/>
      <c r="AV2" s="94"/>
      <c r="AW2" s="94"/>
      <c r="AX2" s="94"/>
      <c r="AY2" s="94"/>
      <c r="AZ2" s="94"/>
      <c r="BA2" s="94"/>
    </row>
    <row r="3" spans="1:57" ht="15" customHeight="1">
      <c r="A3" s="2113"/>
      <c r="B3" s="2114"/>
      <c r="C3" s="2114"/>
      <c r="D3" s="2114"/>
      <c r="E3" s="2115"/>
      <c r="F3" s="2122" t="s">
        <v>584</v>
      </c>
      <c r="G3" s="2123"/>
      <c r="H3" s="2123"/>
      <c r="I3" s="2123"/>
      <c r="J3" s="2123"/>
      <c r="K3" s="2123"/>
      <c r="L3" s="2123"/>
      <c r="M3" s="2123"/>
      <c r="N3" s="2123"/>
      <c r="O3" s="2123"/>
      <c r="P3" s="2123"/>
      <c r="Q3" s="2123"/>
      <c r="R3" s="2123"/>
      <c r="S3" s="2123"/>
      <c r="T3" s="2123"/>
      <c r="U3" s="2123"/>
      <c r="V3" s="2123"/>
      <c r="W3" s="2123"/>
      <c r="X3" s="2123"/>
      <c r="Y3" s="2123"/>
      <c r="Z3" s="2124"/>
      <c r="AG3" s="93"/>
      <c r="AH3" s="93"/>
      <c r="AI3" s="93"/>
      <c r="AJ3" s="93"/>
      <c r="AK3" s="94"/>
      <c r="AL3" s="94"/>
      <c r="AM3" s="94"/>
      <c r="AN3" s="94"/>
      <c r="AO3" s="94"/>
      <c r="AP3" s="94"/>
      <c r="AQ3" s="94"/>
      <c r="AR3" s="94"/>
      <c r="AS3" s="94"/>
      <c r="AT3" s="94"/>
      <c r="AU3" s="94"/>
      <c r="AV3" s="94"/>
      <c r="AW3" s="94"/>
      <c r="AX3" s="94"/>
      <c r="AY3" s="94"/>
      <c r="AZ3" s="94"/>
      <c r="BA3" s="94"/>
    </row>
    <row r="4" spans="1:57" ht="12.95" customHeight="1">
      <c r="A4" s="2113"/>
      <c r="B4" s="2114"/>
      <c r="C4" s="2114"/>
      <c r="D4" s="2114"/>
      <c r="E4" s="2115"/>
      <c r="F4" s="2125" t="s">
        <v>38</v>
      </c>
      <c r="G4" s="2126"/>
      <c r="H4" s="2126"/>
      <c r="I4" s="2126"/>
      <c r="J4" s="2126"/>
      <c r="K4" s="2126"/>
      <c r="L4" s="2126"/>
      <c r="M4" s="2126"/>
      <c r="N4" s="2126"/>
      <c r="O4" s="2126"/>
      <c r="P4" s="2127"/>
      <c r="Q4" s="2128" t="s">
        <v>577</v>
      </c>
      <c r="R4" s="2128"/>
      <c r="S4" s="2128"/>
      <c r="T4" s="2128"/>
      <c r="U4" s="2128"/>
      <c r="V4" s="2128"/>
      <c r="W4" s="2128"/>
      <c r="X4" s="2128"/>
      <c r="Y4" s="2128"/>
      <c r="Z4" s="2128"/>
      <c r="AA4" s="95"/>
      <c r="AG4" s="96"/>
      <c r="AH4" s="96"/>
      <c r="AI4" s="96"/>
      <c r="AJ4" s="97"/>
      <c r="AK4" s="98"/>
      <c r="AL4" s="98"/>
      <c r="AM4" s="98"/>
      <c r="AN4" s="98"/>
      <c r="AO4" s="98"/>
      <c r="AP4" s="98"/>
      <c r="AQ4" s="98"/>
      <c r="AR4" s="98"/>
      <c r="AS4" s="98"/>
      <c r="AT4" s="98"/>
      <c r="AU4" s="98"/>
      <c r="AV4" s="98"/>
      <c r="AW4" s="98"/>
      <c r="AX4" s="99"/>
      <c r="AY4" s="99"/>
      <c r="AZ4" s="99"/>
      <c r="BA4" s="99"/>
      <c r="BB4" s="95"/>
      <c r="BC4" s="95"/>
      <c r="BD4" s="95"/>
      <c r="BE4" s="95"/>
    </row>
    <row r="5" spans="1:57" ht="12.95" customHeight="1">
      <c r="A5" s="2113"/>
      <c r="B5" s="2114"/>
      <c r="C5" s="2114"/>
      <c r="D5" s="2114"/>
      <c r="E5" s="2115"/>
      <c r="F5" s="2141" t="s">
        <v>639</v>
      </c>
      <c r="G5" s="2142"/>
      <c r="H5" s="2142"/>
      <c r="I5" s="2142"/>
      <c r="J5" s="2142"/>
      <c r="K5" s="2142"/>
      <c r="L5" s="2142"/>
      <c r="M5" s="2142"/>
      <c r="N5" s="2142"/>
      <c r="O5" s="2142"/>
      <c r="P5" s="2142"/>
      <c r="Q5" s="2142"/>
      <c r="R5" s="2142"/>
      <c r="S5" s="2142"/>
      <c r="T5" s="2142"/>
      <c r="U5" s="2142"/>
      <c r="V5" s="2142"/>
      <c r="W5" s="2142"/>
      <c r="X5" s="2142"/>
      <c r="Y5" s="2142"/>
      <c r="Z5" s="2143"/>
      <c r="AA5" s="95"/>
      <c r="AG5" s="100"/>
      <c r="AH5" s="100"/>
      <c r="AI5" s="100"/>
      <c r="AJ5" s="100"/>
      <c r="AK5" s="100"/>
      <c r="AL5" s="100"/>
      <c r="AM5" s="100"/>
      <c r="AN5" s="100"/>
      <c r="AO5" s="100"/>
      <c r="AP5" s="100"/>
      <c r="AQ5" s="100"/>
      <c r="AR5" s="100"/>
      <c r="AS5" s="100"/>
      <c r="AT5" s="101"/>
      <c r="AU5" s="102"/>
      <c r="AV5" s="102"/>
      <c r="AW5" s="103"/>
      <c r="AX5" s="103"/>
      <c r="AY5" s="103"/>
      <c r="AZ5" s="103"/>
      <c r="BA5" s="103"/>
      <c r="BB5" s="95"/>
      <c r="BC5" s="95"/>
      <c r="BD5" s="95"/>
      <c r="BE5" s="95"/>
    </row>
    <row r="6" spans="1:57" ht="14.1" customHeight="1">
      <c r="A6" s="2137" t="s">
        <v>5</v>
      </c>
      <c r="B6" s="2138"/>
      <c r="C6" s="2138"/>
      <c r="D6" s="2149" t="str">
        <f>IF('Gradacion '!E6="","",+'Gradacion '!E6)</f>
        <v/>
      </c>
      <c r="E6" s="2149"/>
      <c r="F6" s="2149"/>
      <c r="G6" s="2149"/>
      <c r="H6" s="2149"/>
      <c r="I6" s="2149"/>
      <c r="J6" s="2149"/>
      <c r="K6" s="2149"/>
      <c r="L6" s="2149"/>
      <c r="M6" s="2149"/>
      <c r="N6" s="2149"/>
      <c r="O6" s="2149"/>
      <c r="P6" s="2149"/>
      <c r="Q6" s="2149"/>
      <c r="R6" s="2149"/>
      <c r="S6" s="2005" t="s">
        <v>324</v>
      </c>
      <c r="T6" s="2005"/>
      <c r="U6" s="2005"/>
      <c r="V6" s="2005"/>
      <c r="W6" s="2134"/>
      <c r="X6" s="2134"/>
      <c r="Y6" s="2134"/>
      <c r="Z6" s="2135"/>
      <c r="AC6" s="79"/>
      <c r="AD6" s="104"/>
      <c r="AE6" s="100"/>
      <c r="AF6" s="100"/>
      <c r="AG6" s="100"/>
      <c r="AH6" s="100"/>
      <c r="AI6" s="100"/>
      <c r="AJ6" s="100"/>
      <c r="AK6" s="100"/>
      <c r="AL6" s="100"/>
      <c r="AM6" s="100"/>
      <c r="AN6" s="100"/>
      <c r="AO6" s="100"/>
      <c r="AP6" s="100"/>
      <c r="AQ6" s="100"/>
      <c r="AR6" s="100"/>
      <c r="AS6" s="100"/>
      <c r="AT6" s="101"/>
      <c r="AU6" s="104"/>
      <c r="AV6" s="104"/>
      <c r="AW6" s="103"/>
      <c r="AX6" s="95"/>
      <c r="AY6" s="95"/>
      <c r="AZ6" s="95"/>
      <c r="BA6" s="95"/>
      <c r="BB6" s="95"/>
      <c r="BC6" s="95"/>
      <c r="BD6" s="95"/>
      <c r="BE6" s="95"/>
    </row>
    <row r="7" spans="1:57" s="78" customFormat="1" ht="14.1" customHeight="1">
      <c r="A7" s="2139" t="s">
        <v>39</v>
      </c>
      <c r="B7" s="2140"/>
      <c r="C7" s="2140"/>
      <c r="D7" s="2152" t="str">
        <f>IF('Gradacion '!E7="","",+'Gradacion '!E7)</f>
        <v/>
      </c>
      <c r="E7" s="2152"/>
      <c r="F7" s="2152"/>
      <c r="G7" s="2152"/>
      <c r="H7" s="2152"/>
      <c r="I7" s="2150" t="s">
        <v>18</v>
      </c>
      <c r="J7" s="2150"/>
      <c r="K7" s="2150"/>
      <c r="L7" s="2146" t="str">
        <f>IF('Gradacion '!O7="","",'Gradacion '!O7)</f>
        <v/>
      </c>
      <c r="M7" s="2146"/>
      <c r="N7" s="2146"/>
      <c r="O7" s="2146"/>
      <c r="P7" s="2146"/>
      <c r="Q7" s="2146"/>
      <c r="R7" s="2146"/>
      <c r="S7" s="2133" t="s">
        <v>40</v>
      </c>
      <c r="T7" s="2133"/>
      <c r="U7" s="2133"/>
      <c r="V7" s="2133"/>
      <c r="W7" s="2026" t="str">
        <f>IF('Gradacion '!AB7="","",+'Gradacion '!AB7)</f>
        <v/>
      </c>
      <c r="X7" s="2026"/>
      <c r="Y7" s="2026"/>
      <c r="Z7" s="2027"/>
      <c r="AC7" s="79"/>
      <c r="AD7" s="79"/>
      <c r="AE7" s="100"/>
      <c r="AF7" s="100"/>
      <c r="AG7" s="100"/>
      <c r="AH7" s="100"/>
      <c r="AI7" s="100"/>
      <c r="AJ7" s="100"/>
      <c r="AK7" s="100"/>
      <c r="AL7" s="100"/>
      <c r="AM7" s="100"/>
      <c r="AN7" s="100"/>
      <c r="AO7" s="100"/>
      <c r="AP7" s="100"/>
      <c r="AQ7" s="100"/>
      <c r="AR7" s="100"/>
      <c r="AS7" s="100"/>
      <c r="AT7" s="105"/>
      <c r="AU7" s="79"/>
      <c r="AV7" s="79"/>
      <c r="AW7" s="100"/>
      <c r="AX7" s="100"/>
      <c r="AY7" s="100"/>
      <c r="AZ7" s="100"/>
      <c r="BA7" s="100"/>
      <c r="BB7" s="77"/>
      <c r="BC7" s="77"/>
      <c r="BD7" s="77"/>
      <c r="BE7" s="77"/>
    </row>
    <row r="8" spans="1:57" s="78" customFormat="1" ht="14.1" customHeight="1">
      <c r="A8" s="2139" t="s">
        <v>465</v>
      </c>
      <c r="B8" s="2140"/>
      <c r="C8" s="2140"/>
      <c r="D8" s="2146" t="str">
        <f>IF('Gradacion '!E8="","",+'Gradacion '!E8)</f>
        <v/>
      </c>
      <c r="E8" s="2146"/>
      <c r="F8" s="2146"/>
      <c r="G8" s="2146"/>
      <c r="H8" s="2146"/>
      <c r="I8" s="2151" t="s">
        <v>19</v>
      </c>
      <c r="J8" s="2151"/>
      <c r="K8" s="2151"/>
      <c r="L8" s="2025" t="str">
        <f>IF('Gradacion '!O8="","",'Gradacion '!O8)</f>
        <v/>
      </c>
      <c r="M8" s="2025"/>
      <c r="N8" s="2025"/>
      <c r="O8" s="2025"/>
      <c r="P8" s="2025"/>
      <c r="Q8" s="2025"/>
      <c r="R8" s="2025"/>
      <c r="S8" s="2133" t="s">
        <v>407</v>
      </c>
      <c r="T8" s="2133"/>
      <c r="U8" s="2133"/>
      <c r="V8" s="2133"/>
      <c r="W8" s="2144" t="str">
        <f>IF('Gradacion '!AB8="","",+'Gradacion '!AB8)</f>
        <v/>
      </c>
      <c r="X8" s="2144"/>
      <c r="Y8" s="2144"/>
      <c r="Z8" s="2145"/>
      <c r="AA8" s="77"/>
    </row>
    <row r="9" spans="1:57" s="78" customFormat="1" ht="14.1" customHeight="1">
      <c r="A9" s="2147" t="s">
        <v>6</v>
      </c>
      <c r="B9" s="2148"/>
      <c r="C9" s="2148"/>
      <c r="D9" s="2153" t="str">
        <f>IF('Gradacion '!E9="","",+'Gradacion '!E9)</f>
        <v/>
      </c>
      <c r="E9" s="2153"/>
      <c r="F9" s="2153"/>
      <c r="G9" s="2153"/>
      <c r="H9" s="2153"/>
      <c r="I9" s="2153"/>
      <c r="J9" s="2153"/>
      <c r="K9" s="2153"/>
      <c r="L9" s="2153"/>
      <c r="M9" s="2153"/>
      <c r="N9" s="2153"/>
      <c r="O9" s="2153"/>
      <c r="P9" s="2153"/>
      <c r="Q9" s="2153"/>
      <c r="R9" s="2153"/>
      <c r="S9" s="2136" t="s">
        <v>634</v>
      </c>
      <c r="T9" s="2136"/>
      <c r="U9" s="2136"/>
      <c r="V9" s="2136"/>
      <c r="W9" s="2026" t="str">
        <f>IF('Gradacion '!AB9="","",+'Gradacion '!AB9)</f>
        <v/>
      </c>
      <c r="X9" s="2026"/>
      <c r="Y9" s="2026"/>
      <c r="Z9" s="2027"/>
    </row>
    <row r="10" spans="1:57" s="78" customFormat="1" ht="15.95" customHeight="1">
      <c r="A10" s="2129" t="s">
        <v>41</v>
      </c>
      <c r="B10" s="2130"/>
      <c r="C10" s="2130"/>
      <c r="D10" s="2130"/>
      <c r="E10" s="2130"/>
      <c r="F10" s="2130"/>
      <c r="G10" s="2130"/>
      <c r="H10" s="2130"/>
      <c r="I10" s="2130"/>
      <c r="J10" s="2130"/>
      <c r="K10" s="2130"/>
      <c r="L10" s="2130"/>
      <c r="M10" s="2130"/>
      <c r="N10" s="2131"/>
      <c r="O10" s="2132"/>
      <c r="P10" s="2132"/>
      <c r="Q10" s="2132"/>
      <c r="R10" s="2132"/>
      <c r="S10" s="2132"/>
      <c r="T10" s="2132"/>
      <c r="U10" s="2132"/>
      <c r="V10" s="2132"/>
      <c r="W10" s="2132"/>
      <c r="X10" s="2132"/>
      <c r="Y10" s="2132"/>
      <c r="Z10" s="2132"/>
    </row>
    <row r="11" spans="1:57" ht="15.95" customHeight="1">
      <c r="A11" s="2180" t="s">
        <v>42</v>
      </c>
      <c r="B11" s="2181"/>
      <c r="C11" s="2181"/>
      <c r="D11" s="2181"/>
      <c r="E11" s="2181"/>
      <c r="F11" s="2181"/>
      <c r="G11" s="2181"/>
      <c r="H11" s="2181"/>
      <c r="I11" s="2181"/>
      <c r="J11" s="2181"/>
      <c r="K11" s="2181"/>
      <c r="L11" s="2181"/>
      <c r="M11" s="2181"/>
      <c r="N11" s="2181"/>
      <c r="O11" s="2097"/>
      <c r="P11" s="2097"/>
      <c r="Q11" s="2097"/>
      <c r="R11" s="2097"/>
      <c r="S11" s="2097"/>
      <c r="T11" s="2097"/>
      <c r="U11" s="2097"/>
      <c r="V11" s="2097"/>
      <c r="W11" s="2097"/>
      <c r="X11" s="2097"/>
      <c r="Y11" s="2097"/>
      <c r="Z11" s="2097"/>
      <c r="AA11" s="782" t="s">
        <v>53</v>
      </c>
      <c r="AB11" s="783">
        <v>12</v>
      </c>
    </row>
    <row r="12" spans="1:57" ht="15.95" customHeight="1">
      <c r="A12" s="2045" t="s">
        <v>43</v>
      </c>
      <c r="B12" s="2046"/>
      <c r="C12" s="2046"/>
      <c r="D12" s="2046"/>
      <c r="E12" s="2046"/>
      <c r="F12" s="2046"/>
      <c r="G12" s="2046"/>
      <c r="H12" s="2046"/>
      <c r="I12" s="2046"/>
      <c r="J12" s="2046"/>
      <c r="K12" s="2046"/>
      <c r="L12" s="2046"/>
      <c r="M12" s="2046"/>
      <c r="N12" s="2046"/>
      <c r="O12" s="2109" t="str">
        <f>IF(O11="","",VLOOKUP(O11,AA11:AB14,2))</f>
        <v/>
      </c>
      <c r="P12" s="2109"/>
      <c r="Q12" s="2109"/>
      <c r="R12" s="2109"/>
      <c r="S12" s="2109"/>
      <c r="T12" s="2109"/>
      <c r="U12" s="2109"/>
      <c r="V12" s="2109"/>
      <c r="W12" s="2109"/>
      <c r="X12" s="2109"/>
      <c r="Y12" s="2109"/>
      <c r="Z12" s="2109"/>
      <c r="AA12" s="782" t="s">
        <v>54</v>
      </c>
      <c r="AB12" s="783">
        <v>11</v>
      </c>
    </row>
    <row r="13" spans="1:57" ht="17.25" customHeight="1">
      <c r="A13" s="2045" t="s">
        <v>44</v>
      </c>
      <c r="B13" s="2046"/>
      <c r="C13" s="2046"/>
      <c r="D13" s="2046"/>
      <c r="E13" s="2046"/>
      <c r="F13" s="2046"/>
      <c r="G13" s="2046"/>
      <c r="H13" s="2046"/>
      <c r="I13" s="2046"/>
      <c r="J13" s="2046"/>
      <c r="K13" s="2046"/>
      <c r="L13" s="2046"/>
      <c r="M13" s="2046"/>
      <c r="N13" s="2046"/>
      <c r="O13" s="2105" t="s">
        <v>45</v>
      </c>
      <c r="P13" s="2105"/>
      <c r="Q13" s="2105"/>
      <c r="R13" s="2105"/>
      <c r="S13" s="2105"/>
      <c r="T13" s="2106"/>
      <c r="U13" s="2107" t="s">
        <v>46</v>
      </c>
      <c r="V13" s="2105"/>
      <c r="W13" s="2105"/>
      <c r="X13" s="2105"/>
      <c r="Y13" s="2105"/>
      <c r="Z13" s="2105"/>
      <c r="AA13" s="782" t="s">
        <v>55</v>
      </c>
      <c r="AB13" s="783">
        <v>8</v>
      </c>
    </row>
    <row r="14" spans="1:57" ht="18" customHeight="1">
      <c r="A14" s="2045" t="s">
        <v>580</v>
      </c>
      <c r="B14" s="2046"/>
      <c r="C14" s="2046"/>
      <c r="D14" s="2046"/>
      <c r="E14" s="2046"/>
      <c r="F14" s="2046"/>
      <c r="G14" s="2046"/>
      <c r="H14" s="2046"/>
      <c r="I14" s="2046"/>
      <c r="J14" s="2046"/>
      <c r="K14" s="2046"/>
      <c r="L14" s="2046"/>
      <c r="M14" s="2174" t="s">
        <v>91</v>
      </c>
      <c r="N14" s="2175"/>
      <c r="O14" s="2098"/>
      <c r="P14" s="2098"/>
      <c r="Q14" s="2098"/>
      <c r="R14" s="2098"/>
      <c r="S14" s="2098"/>
      <c r="T14" s="2099"/>
      <c r="U14" s="2108"/>
      <c r="V14" s="2098"/>
      <c r="W14" s="2098"/>
      <c r="X14" s="2098"/>
      <c r="Y14" s="2098"/>
      <c r="Z14" s="2098"/>
      <c r="AA14" s="782" t="s">
        <v>56</v>
      </c>
      <c r="AB14" s="783">
        <v>6</v>
      </c>
    </row>
    <row r="15" spans="1:57" ht="28.5" customHeight="1">
      <c r="A15" s="2156" t="s">
        <v>581</v>
      </c>
      <c r="B15" s="2157"/>
      <c r="C15" s="2157"/>
      <c r="D15" s="2157"/>
      <c r="E15" s="2157"/>
      <c r="F15" s="2157"/>
      <c r="G15" s="2157"/>
      <c r="H15" s="2157"/>
      <c r="I15" s="2157"/>
      <c r="J15" s="2157"/>
      <c r="K15" s="2157"/>
      <c r="L15" s="2157"/>
      <c r="M15" s="2169" t="s">
        <v>91</v>
      </c>
      <c r="N15" s="2170"/>
      <c r="O15" s="2098"/>
      <c r="P15" s="2098"/>
      <c r="Q15" s="2098"/>
      <c r="R15" s="2098"/>
      <c r="S15" s="2098"/>
      <c r="T15" s="2099"/>
      <c r="U15" s="2100"/>
      <c r="V15" s="2101"/>
      <c r="W15" s="2101"/>
      <c r="X15" s="2101"/>
      <c r="Y15" s="2101"/>
      <c r="Z15" s="2101"/>
    </row>
    <row r="16" spans="1:57" ht="30" customHeight="1">
      <c r="A16" s="2156" t="s">
        <v>582</v>
      </c>
      <c r="B16" s="2157"/>
      <c r="C16" s="2157"/>
      <c r="D16" s="2157"/>
      <c r="E16" s="2157"/>
      <c r="F16" s="2157"/>
      <c r="G16" s="2157"/>
      <c r="H16" s="2157"/>
      <c r="I16" s="2157"/>
      <c r="J16" s="2157"/>
      <c r="K16" s="2157"/>
      <c r="L16" s="2157"/>
      <c r="M16" s="2169" t="s">
        <v>91</v>
      </c>
      <c r="N16" s="2170"/>
      <c r="O16" s="2102"/>
      <c r="P16" s="2102"/>
      <c r="Q16" s="2102"/>
      <c r="R16" s="2102"/>
      <c r="S16" s="2102"/>
      <c r="T16" s="2103"/>
      <c r="U16" s="2104"/>
      <c r="V16" s="2102"/>
      <c r="W16" s="2102"/>
      <c r="X16" s="2102"/>
      <c r="Y16" s="2102"/>
      <c r="Z16" s="2102"/>
      <c r="AF16" s="106"/>
    </row>
    <row r="17" spans="1:27" ht="15.95" customHeight="1">
      <c r="A17" s="2176" t="s">
        <v>360</v>
      </c>
      <c r="B17" s="2177"/>
      <c r="C17" s="2177"/>
      <c r="D17" s="2177"/>
      <c r="E17" s="2177"/>
      <c r="F17" s="2177"/>
      <c r="G17" s="2177"/>
      <c r="H17" s="2177"/>
      <c r="I17" s="2177"/>
      <c r="J17" s="2177"/>
      <c r="K17" s="2177"/>
      <c r="L17" s="2177"/>
      <c r="M17" s="2178" t="s">
        <v>95</v>
      </c>
      <c r="N17" s="2179"/>
      <c r="O17" s="2164" t="str">
        <f>+IF(O14="","",IF(O15="","",((O14-O15)/O14*100)))</f>
        <v/>
      </c>
      <c r="P17" s="2164"/>
      <c r="Q17" s="2164"/>
      <c r="R17" s="2164"/>
      <c r="S17" s="2164"/>
      <c r="T17" s="2165"/>
      <c r="U17" s="2100"/>
      <c r="V17" s="2101"/>
      <c r="W17" s="2101"/>
      <c r="X17" s="2101"/>
      <c r="Y17" s="2101"/>
      <c r="Z17" s="2101"/>
    </row>
    <row r="18" spans="1:27" s="107" customFormat="1" ht="15.95" customHeight="1">
      <c r="A18" s="2156" t="s">
        <v>361</v>
      </c>
      <c r="B18" s="2157"/>
      <c r="C18" s="2157"/>
      <c r="D18" s="2157"/>
      <c r="E18" s="2157"/>
      <c r="F18" s="2157"/>
      <c r="G18" s="2157"/>
      <c r="H18" s="2157"/>
      <c r="I18" s="2157"/>
      <c r="J18" s="2157"/>
      <c r="K18" s="2157"/>
      <c r="L18" s="2157"/>
      <c r="M18" s="2169" t="s">
        <v>95</v>
      </c>
      <c r="N18" s="2170"/>
      <c r="O18" s="2166" t="str">
        <f>IF(O14="","",((+O14-O16)/O14 *100))</f>
        <v/>
      </c>
      <c r="P18" s="2166"/>
      <c r="Q18" s="2166"/>
      <c r="R18" s="2166"/>
      <c r="S18" s="2166"/>
      <c r="T18" s="2167"/>
      <c r="U18" s="2168" t="str">
        <f>IF(U14="","",((+U14-U16)/U14*100))</f>
        <v/>
      </c>
      <c r="V18" s="2166"/>
      <c r="W18" s="2166"/>
      <c r="X18" s="2166"/>
      <c r="Y18" s="2166"/>
      <c r="Z18" s="2166"/>
    </row>
    <row r="19" spans="1:27" ht="15.95" customHeight="1">
      <c r="A19" s="2156" t="s">
        <v>362</v>
      </c>
      <c r="B19" s="2157"/>
      <c r="C19" s="2157"/>
      <c r="D19" s="2157"/>
      <c r="E19" s="2157"/>
      <c r="F19" s="2157"/>
      <c r="G19" s="2157"/>
      <c r="H19" s="2157"/>
      <c r="I19" s="2157"/>
      <c r="J19" s="2157"/>
      <c r="K19" s="2157"/>
      <c r="L19" s="2157"/>
      <c r="M19" s="2157"/>
      <c r="N19" s="2157"/>
      <c r="O19" s="2158" t="str">
        <f>IF(U18="","",((+U18/O18)))</f>
        <v/>
      </c>
      <c r="P19" s="2158"/>
      <c r="Q19" s="2158"/>
      <c r="R19" s="2158"/>
      <c r="S19" s="2158"/>
      <c r="T19" s="2158"/>
      <c r="U19" s="2158"/>
      <c r="V19" s="2158"/>
      <c r="W19" s="2158"/>
      <c r="X19" s="2158"/>
      <c r="Y19" s="2158"/>
      <c r="Z19" s="2158"/>
    </row>
    <row r="20" spans="1:27" ht="15.95" customHeight="1">
      <c r="A20" s="2159" t="s">
        <v>47</v>
      </c>
      <c r="B20" s="2160"/>
      <c r="C20" s="2160"/>
      <c r="D20" s="2160"/>
      <c r="E20" s="2160"/>
      <c r="F20" s="2160"/>
      <c r="G20" s="2160"/>
      <c r="H20" s="2160"/>
      <c r="I20" s="2160"/>
      <c r="J20" s="2160"/>
      <c r="K20" s="2160"/>
      <c r="L20" s="2160"/>
      <c r="M20" s="2160"/>
      <c r="N20" s="2160"/>
      <c r="O20" s="2171" t="str">
        <f>+IF(O18="","",IF(O15="","",(O17/O18)))</f>
        <v/>
      </c>
      <c r="P20" s="2172"/>
      <c r="Q20" s="2172"/>
      <c r="R20" s="2172"/>
      <c r="S20" s="2172"/>
      <c r="T20" s="2172"/>
      <c r="U20" s="2172"/>
      <c r="V20" s="2172"/>
      <c r="W20" s="2172"/>
      <c r="X20" s="2172"/>
      <c r="Y20" s="2172"/>
      <c r="Z20" s="2173"/>
    </row>
    <row r="21" spans="1:27" ht="18" customHeight="1">
      <c r="A21" s="2161" t="s">
        <v>48</v>
      </c>
      <c r="B21" s="2162"/>
      <c r="C21" s="2162"/>
      <c r="D21" s="2162"/>
      <c r="E21" s="2162"/>
      <c r="F21" s="2162"/>
      <c r="G21" s="2162"/>
      <c r="H21" s="2162"/>
      <c r="I21" s="2162"/>
      <c r="J21" s="2162"/>
      <c r="K21" s="2162"/>
      <c r="L21" s="2162"/>
      <c r="M21" s="2162"/>
      <c r="N21" s="2162"/>
      <c r="O21" s="2162"/>
      <c r="P21" s="2162"/>
      <c r="Q21" s="2162"/>
      <c r="R21" s="2162"/>
      <c r="S21" s="2162"/>
      <c r="T21" s="2162"/>
      <c r="U21" s="2162"/>
      <c r="V21" s="2162"/>
      <c r="W21" s="2162"/>
      <c r="X21" s="2162"/>
      <c r="Y21" s="2162"/>
      <c r="Z21" s="2163"/>
      <c r="AA21" s="781"/>
    </row>
    <row r="22" spans="1:27" ht="18" customHeight="1">
      <c r="A22" s="2034" t="s">
        <v>49</v>
      </c>
      <c r="B22" s="2035"/>
      <c r="C22" s="2035"/>
      <c r="D22" s="2035"/>
      <c r="E22" s="2035"/>
      <c r="F22" s="2035"/>
      <c r="G22" s="2035"/>
      <c r="H22" s="2035"/>
      <c r="I22" s="2035"/>
      <c r="J22" s="2035"/>
      <c r="K22" s="2035"/>
      <c r="L22" s="2035"/>
      <c r="M22" s="2035"/>
      <c r="N22" s="2035"/>
      <c r="O22" s="2035"/>
      <c r="P22" s="2035"/>
      <c r="Q22" s="2035"/>
      <c r="R22" s="2035"/>
      <c r="S22" s="2035"/>
      <c r="T22" s="2035"/>
      <c r="U22" s="2035"/>
      <c r="V22" s="2035"/>
      <c r="W22" s="2035"/>
      <c r="X22" s="2035"/>
      <c r="Y22" s="2035"/>
      <c r="Z22" s="2036"/>
    </row>
    <row r="23" spans="1:27" s="108" customFormat="1" ht="27" customHeight="1">
      <c r="A23" s="2037" t="s">
        <v>363</v>
      </c>
      <c r="B23" s="2038"/>
      <c r="C23" s="2038"/>
      <c r="D23" s="2038"/>
      <c r="E23" s="2038"/>
      <c r="F23" s="2038"/>
      <c r="G23" s="2039" t="s">
        <v>50</v>
      </c>
      <c r="H23" s="2040"/>
      <c r="I23" s="2040"/>
      <c r="J23" s="2040"/>
      <c r="K23" s="2040"/>
      <c r="L23" s="2040"/>
      <c r="M23" s="2040"/>
      <c r="N23" s="2040"/>
      <c r="O23" s="2040"/>
      <c r="P23" s="2040"/>
      <c r="Q23" s="2040"/>
      <c r="R23" s="2040"/>
      <c r="S23" s="2040"/>
      <c r="T23" s="2040"/>
      <c r="U23" s="2040"/>
      <c r="V23" s="2040"/>
      <c r="W23" s="2040"/>
      <c r="X23" s="2040"/>
      <c r="Y23" s="2040"/>
      <c r="Z23" s="2041"/>
    </row>
    <row r="24" spans="1:27" s="109" customFormat="1" ht="15" customHeight="1">
      <c r="A24" s="2039" t="s">
        <v>51</v>
      </c>
      <c r="B24" s="2040"/>
      <c r="C24" s="2041"/>
      <c r="D24" s="2040" t="s">
        <v>52</v>
      </c>
      <c r="E24" s="2040"/>
      <c r="F24" s="2041"/>
      <c r="G24" s="2042" t="s">
        <v>53</v>
      </c>
      <c r="H24" s="2043"/>
      <c r="I24" s="2043"/>
      <c r="J24" s="2043"/>
      <c r="K24" s="2044"/>
      <c r="L24" s="2042" t="s">
        <v>54</v>
      </c>
      <c r="M24" s="2043"/>
      <c r="N24" s="2043"/>
      <c r="O24" s="2043"/>
      <c r="P24" s="2044"/>
      <c r="Q24" s="2042" t="s">
        <v>55</v>
      </c>
      <c r="R24" s="2043"/>
      <c r="S24" s="2043"/>
      <c r="T24" s="2043"/>
      <c r="U24" s="2044"/>
      <c r="V24" s="2042" t="s">
        <v>56</v>
      </c>
      <c r="W24" s="2043"/>
      <c r="X24" s="2043"/>
      <c r="Y24" s="2043"/>
      <c r="Z24" s="2044"/>
    </row>
    <row r="25" spans="1:27" ht="15.95" customHeight="1">
      <c r="A25" s="2089" t="s">
        <v>58</v>
      </c>
      <c r="B25" s="2090"/>
      <c r="C25" s="2091"/>
      <c r="D25" s="2090" t="s">
        <v>59</v>
      </c>
      <c r="E25" s="2090"/>
      <c r="F25" s="2092"/>
      <c r="G25" s="2093" t="s">
        <v>60</v>
      </c>
      <c r="H25" s="2094"/>
      <c r="I25" s="2094"/>
      <c r="J25" s="2094"/>
      <c r="K25" s="2095"/>
      <c r="L25" s="2031"/>
      <c r="M25" s="2032"/>
      <c r="N25" s="2032"/>
      <c r="O25" s="2032"/>
      <c r="P25" s="2033"/>
      <c r="Q25" s="2028"/>
      <c r="R25" s="2029"/>
      <c r="S25" s="2029"/>
      <c r="T25" s="2029"/>
      <c r="U25" s="2030"/>
      <c r="V25" s="2031"/>
      <c r="W25" s="2032"/>
      <c r="X25" s="2032"/>
      <c r="Y25" s="2032"/>
      <c r="Z25" s="2033"/>
    </row>
    <row r="26" spans="1:27" ht="15.95" customHeight="1">
      <c r="A26" s="2079" t="s">
        <v>59</v>
      </c>
      <c r="B26" s="2080"/>
      <c r="C26" s="2096"/>
      <c r="D26" s="2080" t="s">
        <v>61</v>
      </c>
      <c r="E26" s="2080"/>
      <c r="F26" s="2082"/>
      <c r="G26" s="2086" t="s">
        <v>60</v>
      </c>
      <c r="H26" s="2087"/>
      <c r="I26" s="2087"/>
      <c r="J26" s="2087"/>
      <c r="K26" s="2088"/>
      <c r="L26" s="2022"/>
      <c r="M26" s="2023"/>
      <c r="N26" s="2023"/>
      <c r="O26" s="2023"/>
      <c r="P26" s="2024"/>
      <c r="Q26" s="2022"/>
      <c r="R26" s="2023"/>
      <c r="S26" s="2023"/>
      <c r="T26" s="2023"/>
      <c r="U26" s="2024"/>
      <c r="V26" s="2022"/>
      <c r="W26" s="2023"/>
      <c r="X26" s="2023"/>
      <c r="Y26" s="2023"/>
      <c r="Z26" s="2024"/>
    </row>
    <row r="27" spans="1:27" ht="15.95" customHeight="1">
      <c r="A27" s="2079" t="s">
        <v>61</v>
      </c>
      <c r="B27" s="2080"/>
      <c r="C27" s="2080"/>
      <c r="D27" s="2081" t="s">
        <v>62</v>
      </c>
      <c r="E27" s="2080"/>
      <c r="F27" s="2082"/>
      <c r="G27" s="2086" t="s">
        <v>63</v>
      </c>
      <c r="H27" s="2087"/>
      <c r="I27" s="2087"/>
      <c r="J27" s="2087"/>
      <c r="K27" s="2088"/>
      <c r="L27" s="2086" t="s">
        <v>64</v>
      </c>
      <c r="M27" s="2087"/>
      <c r="N27" s="2087"/>
      <c r="O27" s="2087"/>
      <c r="P27" s="2088"/>
      <c r="Q27" s="2022"/>
      <c r="R27" s="2023"/>
      <c r="S27" s="2023"/>
      <c r="T27" s="2023"/>
      <c r="U27" s="2024"/>
      <c r="V27" s="2022"/>
      <c r="W27" s="2023"/>
      <c r="X27" s="2023"/>
      <c r="Y27" s="2023"/>
      <c r="Z27" s="2024"/>
    </row>
    <row r="28" spans="1:27" ht="15.95" customHeight="1">
      <c r="A28" s="2079" t="s">
        <v>62</v>
      </c>
      <c r="B28" s="2080"/>
      <c r="C28" s="2080"/>
      <c r="D28" s="2081" t="s">
        <v>65</v>
      </c>
      <c r="E28" s="2080"/>
      <c r="F28" s="2082"/>
      <c r="G28" s="2086" t="s">
        <v>63</v>
      </c>
      <c r="H28" s="2087"/>
      <c r="I28" s="2087"/>
      <c r="J28" s="2087"/>
      <c r="K28" s="2088"/>
      <c r="L28" s="2086" t="s">
        <v>64</v>
      </c>
      <c r="M28" s="2087"/>
      <c r="N28" s="2087"/>
      <c r="O28" s="2087"/>
      <c r="P28" s="2088"/>
      <c r="Q28" s="2022"/>
      <c r="R28" s="2023"/>
      <c r="S28" s="2023"/>
      <c r="T28" s="2023"/>
      <c r="U28" s="2024"/>
      <c r="V28" s="2022"/>
      <c r="W28" s="2023"/>
      <c r="X28" s="2023"/>
      <c r="Y28" s="2023"/>
      <c r="Z28" s="2024"/>
    </row>
    <row r="29" spans="1:27" ht="15.95" customHeight="1">
      <c r="A29" s="2079" t="s">
        <v>65</v>
      </c>
      <c r="B29" s="2080"/>
      <c r="C29" s="2080"/>
      <c r="D29" s="2081" t="s">
        <v>66</v>
      </c>
      <c r="E29" s="2080"/>
      <c r="F29" s="2082"/>
      <c r="G29" s="2022"/>
      <c r="H29" s="2023"/>
      <c r="I29" s="2023"/>
      <c r="J29" s="2023"/>
      <c r="K29" s="2024"/>
      <c r="L29" s="2022"/>
      <c r="M29" s="2023"/>
      <c r="N29" s="2023"/>
      <c r="O29" s="2023"/>
      <c r="P29" s="2024"/>
      <c r="Q29" s="2086" t="s">
        <v>64</v>
      </c>
      <c r="R29" s="2087"/>
      <c r="S29" s="2087"/>
      <c r="T29" s="2087"/>
      <c r="U29" s="2088"/>
      <c r="V29" s="2022"/>
      <c r="W29" s="2023"/>
      <c r="X29" s="2023"/>
      <c r="Y29" s="2023"/>
      <c r="Z29" s="2024"/>
    </row>
    <row r="30" spans="1:27" ht="15.95" customHeight="1">
      <c r="A30" s="2079" t="s">
        <v>66</v>
      </c>
      <c r="B30" s="2080"/>
      <c r="C30" s="2080"/>
      <c r="D30" s="2081" t="s">
        <v>67</v>
      </c>
      <c r="E30" s="2080"/>
      <c r="F30" s="2082"/>
      <c r="G30" s="2022"/>
      <c r="H30" s="2023"/>
      <c r="I30" s="2023"/>
      <c r="J30" s="2023"/>
      <c r="K30" s="2024"/>
      <c r="L30" s="2022"/>
      <c r="M30" s="2023"/>
      <c r="N30" s="2023"/>
      <c r="O30" s="2023"/>
      <c r="P30" s="2024"/>
      <c r="Q30" s="2086" t="s">
        <v>64</v>
      </c>
      <c r="R30" s="2087"/>
      <c r="S30" s="2087"/>
      <c r="T30" s="2087"/>
      <c r="U30" s="2088"/>
      <c r="V30" s="2022"/>
      <c r="W30" s="2023"/>
      <c r="X30" s="2023"/>
      <c r="Y30" s="2023"/>
      <c r="Z30" s="2024"/>
    </row>
    <row r="31" spans="1:27" ht="15.95" customHeight="1">
      <c r="A31" s="2079" t="s">
        <v>67</v>
      </c>
      <c r="B31" s="2080"/>
      <c r="C31" s="2080"/>
      <c r="D31" s="2081" t="s">
        <v>68</v>
      </c>
      <c r="E31" s="2080"/>
      <c r="F31" s="2082"/>
      <c r="G31" s="2022"/>
      <c r="H31" s="2023"/>
      <c r="I31" s="2023"/>
      <c r="J31" s="2023"/>
      <c r="K31" s="2024"/>
      <c r="L31" s="2022"/>
      <c r="M31" s="2023"/>
      <c r="N31" s="2023"/>
      <c r="O31" s="2023"/>
      <c r="P31" s="2024"/>
      <c r="Q31" s="2022"/>
      <c r="R31" s="2023"/>
      <c r="S31" s="2023"/>
      <c r="T31" s="2023"/>
      <c r="U31" s="2024"/>
      <c r="V31" s="2086" t="s">
        <v>69</v>
      </c>
      <c r="W31" s="2087"/>
      <c r="X31" s="2087"/>
      <c r="Y31" s="2087"/>
      <c r="Z31" s="2088"/>
    </row>
    <row r="32" spans="1:27" ht="15.95" customHeight="1">
      <c r="A32" s="2083" t="s">
        <v>70</v>
      </c>
      <c r="B32" s="2084"/>
      <c r="C32" s="2084"/>
      <c r="D32" s="2084"/>
      <c r="E32" s="2084"/>
      <c r="F32" s="2085"/>
      <c r="G32" s="2083">
        <v>12</v>
      </c>
      <c r="H32" s="2084"/>
      <c r="I32" s="2084"/>
      <c r="J32" s="2084"/>
      <c r="K32" s="2085"/>
      <c r="L32" s="2083">
        <v>11</v>
      </c>
      <c r="M32" s="2084"/>
      <c r="N32" s="2084"/>
      <c r="O32" s="2084"/>
      <c r="P32" s="2085"/>
      <c r="Q32" s="2083">
        <v>8</v>
      </c>
      <c r="R32" s="2084"/>
      <c r="S32" s="2084"/>
      <c r="T32" s="2084"/>
      <c r="U32" s="2085"/>
      <c r="V32" s="2083">
        <v>6</v>
      </c>
      <c r="W32" s="2084"/>
      <c r="X32" s="2084"/>
      <c r="Y32" s="2084"/>
      <c r="Z32" s="2085"/>
    </row>
    <row r="33" spans="1:60" ht="15.95" customHeight="1">
      <c r="A33" s="2050" t="s">
        <v>71</v>
      </c>
      <c r="B33" s="2051"/>
      <c r="C33" s="2051"/>
      <c r="D33" s="2051"/>
      <c r="E33" s="2051"/>
      <c r="F33" s="2051"/>
      <c r="G33" s="2051"/>
      <c r="H33" s="2051"/>
      <c r="I33" s="2051"/>
      <c r="J33" s="2051"/>
      <c r="K33" s="2051"/>
      <c r="L33" s="2051"/>
      <c r="M33" s="2051"/>
      <c r="N33" s="2051"/>
      <c r="O33" s="2051"/>
      <c r="P33" s="2051"/>
      <c r="Q33" s="2051"/>
      <c r="R33" s="2051"/>
      <c r="S33" s="2051"/>
      <c r="T33" s="2051"/>
      <c r="U33" s="2051"/>
      <c r="V33" s="2051"/>
      <c r="W33" s="2051"/>
      <c r="X33" s="2051"/>
      <c r="Y33" s="2051"/>
      <c r="Z33" s="2052"/>
    </row>
    <row r="34" spans="1:60" ht="16.5" customHeight="1">
      <c r="A34" s="1910" t="s">
        <v>20</v>
      </c>
      <c r="B34" s="1911"/>
      <c r="C34" s="1911"/>
      <c r="D34" s="2154"/>
      <c r="E34" s="2154"/>
      <c r="F34" s="2154"/>
      <c r="G34" s="2154"/>
      <c r="H34" s="2154"/>
      <c r="I34" s="2154"/>
      <c r="J34" s="2154"/>
      <c r="K34" s="2154"/>
      <c r="L34" s="2154"/>
      <c r="M34" s="2154"/>
      <c r="N34" s="2154"/>
      <c r="O34" s="2154"/>
      <c r="P34" s="2154"/>
      <c r="Q34" s="2154"/>
      <c r="R34" s="2154"/>
      <c r="S34" s="2154"/>
      <c r="T34" s="2154"/>
      <c r="U34" s="2154"/>
      <c r="V34" s="2154"/>
      <c r="W34" s="2154"/>
      <c r="X34" s="2154"/>
      <c r="Y34" s="2154"/>
      <c r="Z34" s="2155"/>
    </row>
    <row r="35" spans="1:60" ht="33.75" customHeight="1">
      <c r="A35" s="2053"/>
      <c r="B35" s="2054"/>
      <c r="C35" s="2054"/>
      <c r="D35" s="2054"/>
      <c r="E35" s="2054"/>
      <c r="F35" s="2054"/>
      <c r="G35" s="2054"/>
      <c r="H35" s="2054"/>
      <c r="I35" s="2054"/>
      <c r="J35" s="2054"/>
      <c r="K35" s="2054"/>
      <c r="L35" s="2054"/>
      <c r="M35" s="2054"/>
      <c r="N35" s="2054"/>
      <c r="O35" s="2054"/>
      <c r="P35" s="2054"/>
      <c r="Q35" s="2054"/>
      <c r="R35" s="2054"/>
      <c r="S35" s="2054"/>
      <c r="T35" s="2054"/>
      <c r="U35" s="2054"/>
      <c r="V35" s="2054"/>
      <c r="W35" s="2054"/>
      <c r="X35" s="2054"/>
      <c r="Y35" s="2054"/>
      <c r="Z35" s="2055"/>
    </row>
    <row r="36" spans="1:60" s="89" customFormat="1" ht="14.1" customHeight="1">
      <c r="A36" s="2056"/>
      <c r="B36" s="2057"/>
      <c r="C36" s="2057"/>
      <c r="D36" s="2057"/>
      <c r="E36" s="2058"/>
      <c r="F36" s="1903" t="s">
        <v>10</v>
      </c>
      <c r="G36" s="1903"/>
      <c r="H36" s="1903"/>
      <c r="I36" s="1903"/>
      <c r="J36" s="1903"/>
      <c r="K36" s="1903"/>
      <c r="L36" s="2059" t="s">
        <v>22</v>
      </c>
      <c r="M36" s="1903"/>
      <c r="N36" s="1903"/>
      <c r="O36" s="1903"/>
      <c r="P36" s="1903"/>
      <c r="Q36" s="1903"/>
      <c r="R36" s="1903"/>
      <c r="S36" s="2060"/>
      <c r="T36" s="2059" t="s">
        <v>23</v>
      </c>
      <c r="U36" s="1903"/>
      <c r="V36" s="1903"/>
      <c r="W36" s="1903"/>
      <c r="X36" s="1903"/>
      <c r="Y36" s="1903"/>
      <c r="Z36" s="2060"/>
    </row>
    <row r="37" spans="1:60" s="84" customFormat="1" ht="39.950000000000003" customHeight="1">
      <c r="A37" s="2073" t="s">
        <v>13</v>
      </c>
      <c r="B37" s="2074"/>
      <c r="C37" s="2074"/>
      <c r="D37" s="2074"/>
      <c r="E37" s="2075"/>
      <c r="F37" s="1794"/>
      <c r="G37" s="1794"/>
      <c r="H37" s="1794"/>
      <c r="I37" s="1794"/>
      <c r="J37" s="1794"/>
      <c r="K37" s="1794"/>
      <c r="L37" s="2067"/>
      <c r="M37" s="1797"/>
      <c r="N37" s="1797"/>
      <c r="O37" s="1797"/>
      <c r="P37" s="1797"/>
      <c r="Q37" s="1797"/>
      <c r="R37" s="1797"/>
      <c r="S37" s="1798"/>
      <c r="T37" s="2066"/>
      <c r="U37" s="1794"/>
      <c r="V37" s="1794"/>
      <c r="W37" s="1794"/>
      <c r="X37" s="1794"/>
      <c r="Y37" s="1794"/>
      <c r="Z37" s="1795"/>
    </row>
    <row r="38" spans="1:60" s="84" customFormat="1" ht="14.1" customHeight="1">
      <c r="A38" s="2073" t="s">
        <v>609</v>
      </c>
      <c r="B38" s="2074"/>
      <c r="C38" s="2074"/>
      <c r="D38" s="2074"/>
      <c r="E38" s="2075"/>
      <c r="F38" s="1872" t="s">
        <v>560</v>
      </c>
      <c r="G38" s="1872"/>
      <c r="H38" s="1872"/>
      <c r="I38" s="1872"/>
      <c r="J38" s="1872"/>
      <c r="K38" s="1872"/>
      <c r="L38" s="2068" t="s">
        <v>560</v>
      </c>
      <c r="M38" s="1897"/>
      <c r="N38" s="1897"/>
      <c r="O38" s="1897"/>
      <c r="P38" s="1897"/>
      <c r="Q38" s="1897"/>
      <c r="R38" s="1897"/>
      <c r="S38" s="2069"/>
      <c r="T38" s="2061" t="s">
        <v>560</v>
      </c>
      <c r="U38" s="1872"/>
      <c r="V38" s="1872"/>
      <c r="W38" s="1872"/>
      <c r="X38" s="1872"/>
      <c r="Y38" s="1872"/>
      <c r="Z38" s="2062"/>
      <c r="AD38" s="110"/>
    </row>
    <row r="39" spans="1:60" s="84" customFormat="1" ht="14.1" customHeight="1" thickBot="1">
      <c r="A39" s="2076" t="s">
        <v>14</v>
      </c>
      <c r="B39" s="2077"/>
      <c r="C39" s="2077"/>
      <c r="D39" s="2077"/>
      <c r="E39" s="2078"/>
      <c r="F39" s="2064" t="str">
        <f>IF(F38="--","",VLOOKUP(F38,firmas!A2:B31,2,0))</f>
        <v/>
      </c>
      <c r="G39" s="2064"/>
      <c r="H39" s="2064"/>
      <c r="I39" s="2064"/>
      <c r="J39" s="2064"/>
      <c r="K39" s="2064"/>
      <c r="L39" s="2070" t="str">
        <f>IF(L38="--","",VLOOKUP(L38,firmas!A33:B35,2,0))</f>
        <v/>
      </c>
      <c r="M39" s="2071"/>
      <c r="N39" s="2071"/>
      <c r="O39" s="2071"/>
      <c r="P39" s="2071"/>
      <c r="Q39" s="2071"/>
      <c r="R39" s="2071"/>
      <c r="S39" s="2072"/>
      <c r="T39" s="2063" t="str">
        <f>IF(T38="--","",VLOOKUP(T38,firmas!A37:B38,2))</f>
        <v/>
      </c>
      <c r="U39" s="2064"/>
      <c r="V39" s="2064"/>
      <c r="W39" s="2064"/>
      <c r="X39" s="2064"/>
      <c r="Y39" s="2064"/>
      <c r="Z39" s="2065"/>
    </row>
    <row r="40" spans="1:60" s="84" customFormat="1" ht="12" customHeight="1" thickTop="1" thickBot="1">
      <c r="A40" s="2047" t="s">
        <v>24</v>
      </c>
      <c r="B40" s="2047"/>
      <c r="C40" s="2047"/>
      <c r="D40" s="2047"/>
      <c r="E40" s="2047"/>
      <c r="F40" s="2047"/>
      <c r="G40" s="2047"/>
      <c r="H40" s="2047"/>
      <c r="I40" s="2047"/>
      <c r="J40" s="2047"/>
      <c r="K40" s="2047"/>
      <c r="L40" s="2047"/>
      <c r="M40" s="2047"/>
      <c r="N40" s="2047"/>
      <c r="O40" s="2047"/>
      <c r="P40" s="2047"/>
      <c r="Q40" s="2047"/>
      <c r="R40" s="2047"/>
      <c r="S40" s="2047"/>
      <c r="T40" s="2047"/>
      <c r="U40" s="2047"/>
      <c r="V40" s="2047"/>
      <c r="W40" s="2047"/>
      <c r="X40" s="2047"/>
      <c r="Y40" s="2047"/>
      <c r="Z40" s="2047"/>
    </row>
    <row r="41" spans="1:60" s="84" customFormat="1" ht="20.100000000000001" customHeight="1" thickTop="1">
      <c r="A41" s="2048" t="s">
        <v>25</v>
      </c>
      <c r="B41" s="2048"/>
      <c r="C41" s="2048"/>
      <c r="D41" s="2048"/>
      <c r="E41" s="2048"/>
      <c r="F41" s="2048"/>
      <c r="G41" s="2048"/>
      <c r="H41" s="2048"/>
      <c r="I41" s="2048"/>
      <c r="J41" s="2048"/>
      <c r="K41" s="2048"/>
      <c r="L41" s="2048"/>
      <c r="M41" s="2048"/>
      <c r="N41" s="2048"/>
      <c r="O41" s="2048"/>
      <c r="P41" s="2048"/>
      <c r="Q41" s="2048"/>
      <c r="R41" s="2048"/>
      <c r="S41" s="2048"/>
      <c r="T41" s="2048"/>
      <c r="U41" s="2048"/>
      <c r="V41" s="2048"/>
      <c r="W41" s="2048"/>
      <c r="X41" s="2048"/>
      <c r="Y41" s="2048"/>
      <c r="Z41" s="2048"/>
    </row>
    <row r="42" spans="1:60" s="91" customFormat="1" ht="30" customHeight="1">
      <c r="A42" s="2049" t="s">
        <v>16</v>
      </c>
      <c r="B42" s="2049"/>
      <c r="C42" s="2049"/>
      <c r="D42" s="2049"/>
      <c r="E42" s="2049"/>
      <c r="F42" s="2049"/>
      <c r="G42" s="2049"/>
      <c r="H42" s="2049"/>
      <c r="I42" s="2049"/>
      <c r="J42" s="2049"/>
      <c r="K42" s="2049"/>
      <c r="L42" s="2049"/>
      <c r="M42" s="2049"/>
      <c r="N42" s="2049"/>
      <c r="O42" s="2049"/>
      <c r="P42" s="2049"/>
      <c r="Q42" s="2049"/>
      <c r="R42" s="2049"/>
      <c r="S42" s="2049"/>
      <c r="T42" s="2049"/>
      <c r="U42" s="2049"/>
      <c r="V42" s="2049"/>
      <c r="W42" s="2049"/>
      <c r="X42" s="2049"/>
      <c r="Y42" s="2049"/>
      <c r="Z42" s="2049"/>
    </row>
    <row r="43" spans="1:60" s="84" customFormat="1" ht="18.7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row>
    <row r="44" spans="1:60" s="84" customFormat="1" ht="30" customHeight="1">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row>
    <row r="45" spans="1:60" ht="23.25" customHeight="1">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113"/>
      <c r="AA45" s="82"/>
      <c r="AB45" s="82"/>
      <c r="AC45" s="82"/>
      <c r="AD45" s="114"/>
      <c r="AE45" s="115"/>
    </row>
    <row r="46" spans="1:60" s="120" customFormat="1" ht="30" customHeight="1">
      <c r="A46" s="116"/>
      <c r="B46" s="116"/>
      <c r="C46" s="116"/>
      <c r="D46" s="116"/>
      <c r="E46" s="116"/>
      <c r="F46" s="116"/>
      <c r="G46" s="116"/>
      <c r="H46" s="116"/>
      <c r="I46" s="116"/>
      <c r="J46" s="116"/>
      <c r="K46" s="116"/>
      <c r="L46" s="116"/>
      <c r="M46" s="116"/>
      <c r="N46" s="116"/>
      <c r="O46" s="116"/>
      <c r="P46" s="116"/>
      <c r="Q46" s="116"/>
      <c r="R46" s="116"/>
      <c r="S46" s="116"/>
      <c r="T46" s="116"/>
      <c r="U46" s="116"/>
      <c r="V46" s="2"/>
      <c r="W46" s="2"/>
      <c r="X46" s="2"/>
      <c r="Y46" s="2"/>
      <c r="Z46" s="117"/>
      <c r="AA46" s="85"/>
      <c r="AB46" s="85"/>
      <c r="AC46" s="85"/>
      <c r="AD46" s="114"/>
      <c r="AE46" s="118"/>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row>
    <row r="47" spans="1:60" s="120" customFormat="1" ht="12" customHeight="1">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row>
    <row r="48" spans="1:60" s="120" customFormat="1" ht="12"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row>
    <row r="49" spans="1:60" s="120" customFormat="1" ht="6.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row>
    <row r="50" spans="1:60" s="107" customFormat="1" ht="13.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row>
    <row r="51" spans="1:60" s="107" customFormat="1" ht="10.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row>
  </sheetData>
  <sheetProtection algorithmName="SHA-512" hashValue="SSRr9hj4Gs6ik/DwVhTQ+J54gg9gDj1qAAtLpXb4UUg8CkptWl/1EoLUX5bBdgcnwOLONRLEdVQtuoRE9d+MLA==" saltValue="7haMCocjHn6aQj5z3+RMFQ==" spinCount="100000" sheet="1" formatCells="0" formatColumns="0" formatRows="0"/>
  <dataConsolidate/>
  <mergeCells count="140">
    <mergeCell ref="D8:H8"/>
    <mergeCell ref="D9:R9"/>
    <mergeCell ref="A34:C34"/>
    <mergeCell ref="D34:Z34"/>
    <mergeCell ref="A19:N19"/>
    <mergeCell ref="O19:Z19"/>
    <mergeCell ref="A20:N20"/>
    <mergeCell ref="A21:Z21"/>
    <mergeCell ref="O17:T17"/>
    <mergeCell ref="U17:Z17"/>
    <mergeCell ref="O18:T18"/>
    <mergeCell ref="U18:Z18"/>
    <mergeCell ref="A18:L18"/>
    <mergeCell ref="M18:N18"/>
    <mergeCell ref="O20:Z20"/>
    <mergeCell ref="A14:L14"/>
    <mergeCell ref="M14:N14"/>
    <mergeCell ref="A15:L15"/>
    <mergeCell ref="M15:N15"/>
    <mergeCell ref="A16:L16"/>
    <mergeCell ref="M16:N16"/>
    <mergeCell ref="A17:L17"/>
    <mergeCell ref="M17:N17"/>
    <mergeCell ref="A11:N11"/>
    <mergeCell ref="A1:E5"/>
    <mergeCell ref="F1:Z1"/>
    <mergeCell ref="F2:Z2"/>
    <mergeCell ref="F3:Z3"/>
    <mergeCell ref="F4:P4"/>
    <mergeCell ref="Q4:Z4"/>
    <mergeCell ref="A10:N10"/>
    <mergeCell ref="O10:Z10"/>
    <mergeCell ref="S8:V8"/>
    <mergeCell ref="S6:V6"/>
    <mergeCell ref="W6:Z6"/>
    <mergeCell ref="S7:V7"/>
    <mergeCell ref="S9:V9"/>
    <mergeCell ref="A6:C6"/>
    <mergeCell ref="A7:C7"/>
    <mergeCell ref="F5:Z5"/>
    <mergeCell ref="W8:Z8"/>
    <mergeCell ref="L7:R7"/>
    <mergeCell ref="A8:C8"/>
    <mergeCell ref="A9:C9"/>
    <mergeCell ref="D6:R6"/>
    <mergeCell ref="I7:K7"/>
    <mergeCell ref="I8:K8"/>
    <mergeCell ref="D7:H7"/>
    <mergeCell ref="O11:Z11"/>
    <mergeCell ref="O15:T15"/>
    <mergeCell ref="U15:Z15"/>
    <mergeCell ref="O16:T16"/>
    <mergeCell ref="U16:Z16"/>
    <mergeCell ref="A13:N13"/>
    <mergeCell ref="O13:T13"/>
    <mergeCell ref="U13:Z13"/>
    <mergeCell ref="O14:T14"/>
    <mergeCell ref="U14:Z14"/>
    <mergeCell ref="O12:Z12"/>
    <mergeCell ref="A27:C27"/>
    <mergeCell ref="D27:F27"/>
    <mergeCell ref="G27:K27"/>
    <mergeCell ref="L27:P27"/>
    <mergeCell ref="A28:C28"/>
    <mergeCell ref="D28:F28"/>
    <mergeCell ref="G28:K28"/>
    <mergeCell ref="L28:P28"/>
    <mergeCell ref="A25:C25"/>
    <mergeCell ref="D25:F25"/>
    <mergeCell ref="G25:K25"/>
    <mergeCell ref="A26:C26"/>
    <mergeCell ref="D26:F26"/>
    <mergeCell ref="G26:K26"/>
    <mergeCell ref="L25:P25"/>
    <mergeCell ref="L26:P26"/>
    <mergeCell ref="A31:C31"/>
    <mergeCell ref="D31:F31"/>
    <mergeCell ref="A32:F32"/>
    <mergeCell ref="G32:K32"/>
    <mergeCell ref="L32:P32"/>
    <mergeCell ref="Q32:U32"/>
    <mergeCell ref="V32:Z32"/>
    <mergeCell ref="A29:C29"/>
    <mergeCell ref="D29:F29"/>
    <mergeCell ref="Q29:U29"/>
    <mergeCell ref="A30:C30"/>
    <mergeCell ref="D30:F30"/>
    <mergeCell ref="Q30:U30"/>
    <mergeCell ref="V31:Z31"/>
    <mergeCell ref="G29:K29"/>
    <mergeCell ref="G30:K30"/>
    <mergeCell ref="G31:K31"/>
    <mergeCell ref="L29:P29"/>
    <mergeCell ref="L30:P30"/>
    <mergeCell ref="L31:P31"/>
    <mergeCell ref="A40:Z40"/>
    <mergeCell ref="A41:Z41"/>
    <mergeCell ref="A42:Z42"/>
    <mergeCell ref="A33:Z33"/>
    <mergeCell ref="A35:Z35"/>
    <mergeCell ref="A36:E36"/>
    <mergeCell ref="T36:Z36"/>
    <mergeCell ref="T38:Z38"/>
    <mergeCell ref="T39:Z39"/>
    <mergeCell ref="T37:Z37"/>
    <mergeCell ref="L36:S36"/>
    <mergeCell ref="L37:S37"/>
    <mergeCell ref="L38:S38"/>
    <mergeCell ref="L39:S39"/>
    <mergeCell ref="F36:K36"/>
    <mergeCell ref="F37:K37"/>
    <mergeCell ref="F38:K38"/>
    <mergeCell ref="F39:K39"/>
    <mergeCell ref="A37:E37"/>
    <mergeCell ref="A38:E38"/>
    <mergeCell ref="A39:E39"/>
    <mergeCell ref="Q26:U26"/>
    <mergeCell ref="L8:R8"/>
    <mergeCell ref="W7:Z7"/>
    <mergeCell ref="W9:Z9"/>
    <mergeCell ref="Q27:U27"/>
    <mergeCell ref="Q28:U28"/>
    <mergeCell ref="Q25:U25"/>
    <mergeCell ref="Q31:U31"/>
    <mergeCell ref="V25:Z25"/>
    <mergeCell ref="V26:Z26"/>
    <mergeCell ref="V27:Z27"/>
    <mergeCell ref="V28:Z28"/>
    <mergeCell ref="V29:Z29"/>
    <mergeCell ref="V30:Z30"/>
    <mergeCell ref="A22:Z22"/>
    <mergeCell ref="A23:F23"/>
    <mergeCell ref="G23:Z23"/>
    <mergeCell ref="A24:C24"/>
    <mergeCell ref="D24:F24"/>
    <mergeCell ref="G24:K24"/>
    <mergeCell ref="L24:P24"/>
    <mergeCell ref="Q24:U24"/>
    <mergeCell ref="V24:Z24"/>
    <mergeCell ref="A12:N12"/>
  </mergeCells>
  <dataValidations count="1">
    <dataValidation type="list" allowBlank="1" showInputMessage="1" showErrorMessage="1" sqref="O11:Z11">
      <formula1>$AA$11:$AA$14</formula1>
    </dataValidation>
  </dataValidations>
  <printOptions horizontalCentered="1"/>
  <pageMargins left="0.59055118110236227" right="0.19685039370078741" top="0" bottom="0" header="0" footer="0.39370078740157483"/>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www.umv.gov.co111311&amp;C&amp;6PRO-FM-016
Página 1 de 1</oddFooter>
  </headerFooter>
  <ignoredErrors>
    <ignoredError sqref="N7:R7"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T38:Z38</xm:sqref>
        </x14:dataValidation>
        <x14:dataValidation type="list" allowBlank="1" showInputMessage="1" showErrorMessage="1">
          <x14:formula1>
            <xm:f>firmas!$A$2:$A$31</xm:f>
          </x14:formula1>
          <xm:sqref>F38:K38</xm:sqref>
        </x14:dataValidation>
        <x14:dataValidation type="list" allowBlank="1" showInputMessage="1" showErrorMessage="1">
          <x14:formula1>
            <xm:f>firmas!$A$33:$A$35</xm:f>
          </x14:formula1>
          <xm:sqref>L38:S38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T50"/>
  <sheetViews>
    <sheetView showGridLines="0" view="pageBreakPreview" topLeftCell="A22" zoomScaleNormal="115" zoomScaleSheetLayoutView="100" workbookViewId="0">
      <selection activeCell="F48" sqref="C48:G48"/>
    </sheetView>
  </sheetViews>
  <sheetFormatPr baseColWidth="10" defaultRowHeight="12.75"/>
  <cols>
    <col min="1" max="5" width="2.7109375" style="127" customWidth="1"/>
    <col min="6" max="6" width="2.42578125" style="127" customWidth="1"/>
    <col min="7" max="17" width="2.7109375" style="127" customWidth="1"/>
    <col min="18" max="18" width="1.5703125" style="127" customWidth="1"/>
    <col min="19" max="20" width="2.7109375" style="127" customWidth="1"/>
    <col min="21" max="22" width="2" style="127" customWidth="1"/>
    <col min="23" max="23" width="1.5703125" style="127" customWidth="1"/>
    <col min="24" max="24" width="2" style="127" customWidth="1"/>
    <col min="25" max="27" width="2.7109375" style="127" customWidth="1"/>
    <col min="28" max="28" width="2.5703125" style="127" customWidth="1"/>
    <col min="29" max="29" width="3.42578125" style="127" customWidth="1"/>
    <col min="30" max="30" width="3.7109375" style="127" customWidth="1"/>
    <col min="31" max="31" width="3.140625" style="127" customWidth="1"/>
    <col min="32" max="32" width="4" style="127" customWidth="1"/>
    <col min="33" max="33" width="2.7109375" style="127" customWidth="1"/>
    <col min="34" max="34" width="3.42578125" style="127" customWidth="1"/>
    <col min="35" max="35" width="2.28515625" style="127" customWidth="1"/>
    <col min="36" max="36" width="2.7109375" style="127" customWidth="1"/>
    <col min="37" max="37" width="11.42578125" style="784"/>
    <col min="38" max="38" width="11.5703125" style="784" customWidth="1"/>
    <col min="39" max="39" width="12.5703125" style="784" customWidth="1"/>
    <col min="40" max="40" width="11.5703125" style="784" customWidth="1"/>
    <col min="41" max="46" width="11.42578125" style="784"/>
    <col min="47" max="256" width="11.42578125" style="127"/>
    <col min="257" max="261" width="2.7109375" style="127" customWidth="1"/>
    <col min="262" max="262" width="3.85546875" style="127" customWidth="1"/>
    <col min="263" max="292" width="2.7109375" style="127" customWidth="1"/>
    <col min="293" max="293" width="11.42578125" style="127"/>
    <col min="294" max="294" width="11.5703125" style="127" customWidth="1"/>
    <col min="295" max="295" width="12.5703125" style="127" customWidth="1"/>
    <col min="296" max="296" width="11.5703125" style="127" customWidth="1"/>
    <col min="297" max="512" width="11.42578125" style="127"/>
    <col min="513" max="517" width="2.7109375" style="127" customWidth="1"/>
    <col min="518" max="518" width="3.85546875" style="127" customWidth="1"/>
    <col min="519" max="548" width="2.7109375" style="127" customWidth="1"/>
    <col min="549" max="549" width="11.42578125" style="127"/>
    <col min="550" max="550" width="11.5703125" style="127" customWidth="1"/>
    <col min="551" max="551" width="12.5703125" style="127" customWidth="1"/>
    <col min="552" max="552" width="11.5703125" style="127" customWidth="1"/>
    <col min="553" max="768" width="11.42578125" style="127"/>
    <col min="769" max="773" width="2.7109375" style="127" customWidth="1"/>
    <col min="774" max="774" width="3.85546875" style="127" customWidth="1"/>
    <col min="775" max="804" width="2.7109375" style="127" customWidth="1"/>
    <col min="805" max="805" width="11.42578125" style="127"/>
    <col min="806" max="806" width="11.5703125" style="127" customWidth="1"/>
    <col min="807" max="807" width="12.5703125" style="127" customWidth="1"/>
    <col min="808" max="808" width="11.5703125" style="127" customWidth="1"/>
    <col min="809" max="1024" width="11.42578125" style="127"/>
    <col min="1025" max="1029" width="2.7109375" style="127" customWidth="1"/>
    <col min="1030" max="1030" width="3.85546875" style="127" customWidth="1"/>
    <col min="1031" max="1060" width="2.7109375" style="127" customWidth="1"/>
    <col min="1061" max="1061" width="11.42578125" style="127"/>
    <col min="1062" max="1062" width="11.5703125" style="127" customWidth="1"/>
    <col min="1063" max="1063" width="12.5703125" style="127" customWidth="1"/>
    <col min="1064" max="1064" width="11.5703125" style="127" customWidth="1"/>
    <col min="1065" max="1280" width="11.42578125" style="127"/>
    <col min="1281" max="1285" width="2.7109375" style="127" customWidth="1"/>
    <col min="1286" max="1286" width="3.85546875" style="127" customWidth="1"/>
    <col min="1287" max="1316" width="2.7109375" style="127" customWidth="1"/>
    <col min="1317" max="1317" width="11.42578125" style="127"/>
    <col min="1318" max="1318" width="11.5703125" style="127" customWidth="1"/>
    <col min="1319" max="1319" width="12.5703125" style="127" customWidth="1"/>
    <col min="1320" max="1320" width="11.5703125" style="127" customWidth="1"/>
    <col min="1321" max="1536" width="11.42578125" style="127"/>
    <col min="1537" max="1541" width="2.7109375" style="127" customWidth="1"/>
    <col min="1542" max="1542" width="3.85546875" style="127" customWidth="1"/>
    <col min="1543" max="1572" width="2.7109375" style="127" customWidth="1"/>
    <col min="1573" max="1573" width="11.42578125" style="127"/>
    <col min="1574" max="1574" width="11.5703125" style="127" customWidth="1"/>
    <col min="1575" max="1575" width="12.5703125" style="127" customWidth="1"/>
    <col min="1576" max="1576" width="11.5703125" style="127" customWidth="1"/>
    <col min="1577" max="1792" width="11.42578125" style="127"/>
    <col min="1793" max="1797" width="2.7109375" style="127" customWidth="1"/>
    <col min="1798" max="1798" width="3.85546875" style="127" customWidth="1"/>
    <col min="1799" max="1828" width="2.7109375" style="127" customWidth="1"/>
    <col min="1829" max="1829" width="11.42578125" style="127"/>
    <col min="1830" max="1830" width="11.5703125" style="127" customWidth="1"/>
    <col min="1831" max="1831" width="12.5703125" style="127" customWidth="1"/>
    <col min="1832" max="1832" width="11.5703125" style="127" customWidth="1"/>
    <col min="1833" max="2048" width="11.42578125" style="127"/>
    <col min="2049" max="2053" width="2.7109375" style="127" customWidth="1"/>
    <col min="2054" max="2054" width="3.85546875" style="127" customWidth="1"/>
    <col min="2055" max="2084" width="2.7109375" style="127" customWidth="1"/>
    <col min="2085" max="2085" width="11.42578125" style="127"/>
    <col min="2086" max="2086" width="11.5703125" style="127" customWidth="1"/>
    <col min="2087" max="2087" width="12.5703125" style="127" customWidth="1"/>
    <col min="2088" max="2088" width="11.5703125" style="127" customWidth="1"/>
    <col min="2089" max="2304" width="11.42578125" style="127"/>
    <col min="2305" max="2309" width="2.7109375" style="127" customWidth="1"/>
    <col min="2310" max="2310" width="3.85546875" style="127" customWidth="1"/>
    <col min="2311" max="2340" width="2.7109375" style="127" customWidth="1"/>
    <col min="2341" max="2341" width="11.42578125" style="127"/>
    <col min="2342" max="2342" width="11.5703125" style="127" customWidth="1"/>
    <col min="2343" max="2343" width="12.5703125" style="127" customWidth="1"/>
    <col min="2344" max="2344" width="11.5703125" style="127" customWidth="1"/>
    <col min="2345" max="2560" width="11.42578125" style="127"/>
    <col min="2561" max="2565" width="2.7109375" style="127" customWidth="1"/>
    <col min="2566" max="2566" width="3.85546875" style="127" customWidth="1"/>
    <col min="2567" max="2596" width="2.7109375" style="127" customWidth="1"/>
    <col min="2597" max="2597" width="11.42578125" style="127"/>
    <col min="2598" max="2598" width="11.5703125" style="127" customWidth="1"/>
    <col min="2599" max="2599" width="12.5703125" style="127" customWidth="1"/>
    <col min="2600" max="2600" width="11.5703125" style="127" customWidth="1"/>
    <col min="2601" max="2816" width="11.42578125" style="127"/>
    <col min="2817" max="2821" width="2.7109375" style="127" customWidth="1"/>
    <col min="2822" max="2822" width="3.85546875" style="127" customWidth="1"/>
    <col min="2823" max="2852" width="2.7109375" style="127" customWidth="1"/>
    <col min="2853" max="2853" width="11.42578125" style="127"/>
    <col min="2854" max="2854" width="11.5703125" style="127" customWidth="1"/>
    <col min="2855" max="2855" width="12.5703125" style="127" customWidth="1"/>
    <col min="2856" max="2856" width="11.5703125" style="127" customWidth="1"/>
    <col min="2857" max="3072" width="11.42578125" style="127"/>
    <col min="3073" max="3077" width="2.7109375" style="127" customWidth="1"/>
    <col min="3078" max="3078" width="3.85546875" style="127" customWidth="1"/>
    <col min="3079" max="3108" width="2.7109375" style="127" customWidth="1"/>
    <col min="3109" max="3109" width="11.42578125" style="127"/>
    <col min="3110" max="3110" width="11.5703125" style="127" customWidth="1"/>
    <col min="3111" max="3111" width="12.5703125" style="127" customWidth="1"/>
    <col min="3112" max="3112" width="11.5703125" style="127" customWidth="1"/>
    <col min="3113" max="3328" width="11.42578125" style="127"/>
    <col min="3329" max="3333" width="2.7109375" style="127" customWidth="1"/>
    <col min="3334" max="3334" width="3.85546875" style="127" customWidth="1"/>
    <col min="3335" max="3364" width="2.7109375" style="127" customWidth="1"/>
    <col min="3365" max="3365" width="11.42578125" style="127"/>
    <col min="3366" max="3366" width="11.5703125" style="127" customWidth="1"/>
    <col min="3367" max="3367" width="12.5703125" style="127" customWidth="1"/>
    <col min="3368" max="3368" width="11.5703125" style="127" customWidth="1"/>
    <col min="3369" max="3584" width="11.42578125" style="127"/>
    <col min="3585" max="3589" width="2.7109375" style="127" customWidth="1"/>
    <col min="3590" max="3590" width="3.85546875" style="127" customWidth="1"/>
    <col min="3591" max="3620" width="2.7109375" style="127" customWidth="1"/>
    <col min="3621" max="3621" width="11.42578125" style="127"/>
    <col min="3622" max="3622" width="11.5703125" style="127" customWidth="1"/>
    <col min="3623" max="3623" width="12.5703125" style="127" customWidth="1"/>
    <col min="3624" max="3624" width="11.5703125" style="127" customWidth="1"/>
    <col min="3625" max="3840" width="11.42578125" style="127"/>
    <col min="3841" max="3845" width="2.7109375" style="127" customWidth="1"/>
    <col min="3846" max="3846" width="3.85546875" style="127" customWidth="1"/>
    <col min="3847" max="3876" width="2.7109375" style="127" customWidth="1"/>
    <col min="3877" max="3877" width="11.42578125" style="127"/>
    <col min="3878" max="3878" width="11.5703125" style="127" customWidth="1"/>
    <col min="3879" max="3879" width="12.5703125" style="127" customWidth="1"/>
    <col min="3880" max="3880" width="11.5703125" style="127" customWidth="1"/>
    <col min="3881" max="4096" width="11.42578125" style="127"/>
    <col min="4097" max="4101" width="2.7109375" style="127" customWidth="1"/>
    <col min="4102" max="4102" width="3.85546875" style="127" customWidth="1"/>
    <col min="4103" max="4132" width="2.7109375" style="127" customWidth="1"/>
    <col min="4133" max="4133" width="11.42578125" style="127"/>
    <col min="4134" max="4134" width="11.5703125" style="127" customWidth="1"/>
    <col min="4135" max="4135" width="12.5703125" style="127" customWidth="1"/>
    <col min="4136" max="4136" width="11.5703125" style="127" customWidth="1"/>
    <col min="4137" max="4352" width="11.42578125" style="127"/>
    <col min="4353" max="4357" width="2.7109375" style="127" customWidth="1"/>
    <col min="4358" max="4358" width="3.85546875" style="127" customWidth="1"/>
    <col min="4359" max="4388" width="2.7109375" style="127" customWidth="1"/>
    <col min="4389" max="4389" width="11.42578125" style="127"/>
    <col min="4390" max="4390" width="11.5703125" style="127" customWidth="1"/>
    <col min="4391" max="4391" width="12.5703125" style="127" customWidth="1"/>
    <col min="4392" max="4392" width="11.5703125" style="127" customWidth="1"/>
    <col min="4393" max="4608" width="11.42578125" style="127"/>
    <col min="4609" max="4613" width="2.7109375" style="127" customWidth="1"/>
    <col min="4614" max="4614" width="3.85546875" style="127" customWidth="1"/>
    <col min="4615" max="4644" width="2.7109375" style="127" customWidth="1"/>
    <col min="4645" max="4645" width="11.42578125" style="127"/>
    <col min="4646" max="4646" width="11.5703125" style="127" customWidth="1"/>
    <col min="4647" max="4647" width="12.5703125" style="127" customWidth="1"/>
    <col min="4648" max="4648" width="11.5703125" style="127" customWidth="1"/>
    <col min="4649" max="4864" width="11.42578125" style="127"/>
    <col min="4865" max="4869" width="2.7109375" style="127" customWidth="1"/>
    <col min="4870" max="4870" width="3.85546875" style="127" customWidth="1"/>
    <col min="4871" max="4900" width="2.7109375" style="127" customWidth="1"/>
    <col min="4901" max="4901" width="11.42578125" style="127"/>
    <col min="4902" max="4902" width="11.5703125" style="127" customWidth="1"/>
    <col min="4903" max="4903" width="12.5703125" style="127" customWidth="1"/>
    <col min="4904" max="4904" width="11.5703125" style="127" customWidth="1"/>
    <col min="4905" max="5120" width="11.42578125" style="127"/>
    <col min="5121" max="5125" width="2.7109375" style="127" customWidth="1"/>
    <col min="5126" max="5126" width="3.85546875" style="127" customWidth="1"/>
    <col min="5127" max="5156" width="2.7109375" style="127" customWidth="1"/>
    <col min="5157" max="5157" width="11.42578125" style="127"/>
    <col min="5158" max="5158" width="11.5703125" style="127" customWidth="1"/>
    <col min="5159" max="5159" width="12.5703125" style="127" customWidth="1"/>
    <col min="5160" max="5160" width="11.5703125" style="127" customWidth="1"/>
    <col min="5161" max="5376" width="11.42578125" style="127"/>
    <col min="5377" max="5381" width="2.7109375" style="127" customWidth="1"/>
    <col min="5382" max="5382" width="3.85546875" style="127" customWidth="1"/>
    <col min="5383" max="5412" width="2.7109375" style="127" customWidth="1"/>
    <col min="5413" max="5413" width="11.42578125" style="127"/>
    <col min="5414" max="5414" width="11.5703125" style="127" customWidth="1"/>
    <col min="5415" max="5415" width="12.5703125" style="127" customWidth="1"/>
    <col min="5416" max="5416" width="11.5703125" style="127" customWidth="1"/>
    <col min="5417" max="5632" width="11.42578125" style="127"/>
    <col min="5633" max="5637" width="2.7109375" style="127" customWidth="1"/>
    <col min="5638" max="5638" width="3.85546875" style="127" customWidth="1"/>
    <col min="5639" max="5668" width="2.7109375" style="127" customWidth="1"/>
    <col min="5669" max="5669" width="11.42578125" style="127"/>
    <col min="5670" max="5670" width="11.5703125" style="127" customWidth="1"/>
    <col min="5671" max="5671" width="12.5703125" style="127" customWidth="1"/>
    <col min="5672" max="5672" width="11.5703125" style="127" customWidth="1"/>
    <col min="5673" max="5888" width="11.42578125" style="127"/>
    <col min="5889" max="5893" width="2.7109375" style="127" customWidth="1"/>
    <col min="5894" max="5894" width="3.85546875" style="127" customWidth="1"/>
    <col min="5895" max="5924" width="2.7109375" style="127" customWidth="1"/>
    <col min="5925" max="5925" width="11.42578125" style="127"/>
    <col min="5926" max="5926" width="11.5703125" style="127" customWidth="1"/>
    <col min="5927" max="5927" width="12.5703125" style="127" customWidth="1"/>
    <col min="5928" max="5928" width="11.5703125" style="127" customWidth="1"/>
    <col min="5929" max="6144" width="11.42578125" style="127"/>
    <col min="6145" max="6149" width="2.7109375" style="127" customWidth="1"/>
    <col min="6150" max="6150" width="3.85546875" style="127" customWidth="1"/>
    <col min="6151" max="6180" width="2.7109375" style="127" customWidth="1"/>
    <col min="6181" max="6181" width="11.42578125" style="127"/>
    <col min="6182" max="6182" width="11.5703125" style="127" customWidth="1"/>
    <col min="6183" max="6183" width="12.5703125" style="127" customWidth="1"/>
    <col min="6184" max="6184" width="11.5703125" style="127" customWidth="1"/>
    <col min="6185" max="6400" width="11.42578125" style="127"/>
    <col min="6401" max="6405" width="2.7109375" style="127" customWidth="1"/>
    <col min="6406" max="6406" width="3.85546875" style="127" customWidth="1"/>
    <col min="6407" max="6436" width="2.7109375" style="127" customWidth="1"/>
    <col min="6437" max="6437" width="11.42578125" style="127"/>
    <col min="6438" max="6438" width="11.5703125" style="127" customWidth="1"/>
    <col min="6439" max="6439" width="12.5703125" style="127" customWidth="1"/>
    <col min="6440" max="6440" width="11.5703125" style="127" customWidth="1"/>
    <col min="6441" max="6656" width="11.42578125" style="127"/>
    <col min="6657" max="6661" width="2.7109375" style="127" customWidth="1"/>
    <col min="6662" max="6662" width="3.85546875" style="127" customWidth="1"/>
    <col min="6663" max="6692" width="2.7109375" style="127" customWidth="1"/>
    <col min="6693" max="6693" width="11.42578125" style="127"/>
    <col min="6694" max="6694" width="11.5703125" style="127" customWidth="1"/>
    <col min="6695" max="6695" width="12.5703125" style="127" customWidth="1"/>
    <col min="6696" max="6696" width="11.5703125" style="127" customWidth="1"/>
    <col min="6697" max="6912" width="11.42578125" style="127"/>
    <col min="6913" max="6917" width="2.7109375" style="127" customWidth="1"/>
    <col min="6918" max="6918" width="3.85546875" style="127" customWidth="1"/>
    <col min="6919" max="6948" width="2.7109375" style="127" customWidth="1"/>
    <col min="6949" max="6949" width="11.42578125" style="127"/>
    <col min="6950" max="6950" width="11.5703125" style="127" customWidth="1"/>
    <col min="6951" max="6951" width="12.5703125" style="127" customWidth="1"/>
    <col min="6952" max="6952" width="11.5703125" style="127" customWidth="1"/>
    <col min="6953" max="7168" width="11.42578125" style="127"/>
    <col min="7169" max="7173" width="2.7109375" style="127" customWidth="1"/>
    <col min="7174" max="7174" width="3.85546875" style="127" customWidth="1"/>
    <col min="7175" max="7204" width="2.7109375" style="127" customWidth="1"/>
    <col min="7205" max="7205" width="11.42578125" style="127"/>
    <col min="7206" max="7206" width="11.5703125" style="127" customWidth="1"/>
    <col min="7207" max="7207" width="12.5703125" style="127" customWidth="1"/>
    <col min="7208" max="7208" width="11.5703125" style="127" customWidth="1"/>
    <col min="7209" max="7424" width="11.42578125" style="127"/>
    <col min="7425" max="7429" width="2.7109375" style="127" customWidth="1"/>
    <col min="7430" max="7430" width="3.85546875" style="127" customWidth="1"/>
    <col min="7431" max="7460" width="2.7109375" style="127" customWidth="1"/>
    <col min="7461" max="7461" width="11.42578125" style="127"/>
    <col min="7462" max="7462" width="11.5703125" style="127" customWidth="1"/>
    <col min="7463" max="7463" width="12.5703125" style="127" customWidth="1"/>
    <col min="7464" max="7464" width="11.5703125" style="127" customWidth="1"/>
    <col min="7465" max="7680" width="11.42578125" style="127"/>
    <col min="7681" max="7685" width="2.7109375" style="127" customWidth="1"/>
    <col min="7686" max="7686" width="3.85546875" style="127" customWidth="1"/>
    <col min="7687" max="7716" width="2.7109375" style="127" customWidth="1"/>
    <col min="7717" max="7717" width="11.42578125" style="127"/>
    <col min="7718" max="7718" width="11.5703125" style="127" customWidth="1"/>
    <col min="7719" max="7719" width="12.5703125" style="127" customWidth="1"/>
    <col min="7720" max="7720" width="11.5703125" style="127" customWidth="1"/>
    <col min="7721" max="7936" width="11.42578125" style="127"/>
    <col min="7937" max="7941" width="2.7109375" style="127" customWidth="1"/>
    <col min="7942" max="7942" width="3.85546875" style="127" customWidth="1"/>
    <col min="7943" max="7972" width="2.7109375" style="127" customWidth="1"/>
    <col min="7973" max="7973" width="11.42578125" style="127"/>
    <col min="7974" max="7974" width="11.5703125" style="127" customWidth="1"/>
    <col min="7975" max="7975" width="12.5703125" style="127" customWidth="1"/>
    <col min="7976" max="7976" width="11.5703125" style="127" customWidth="1"/>
    <col min="7977" max="8192" width="11.42578125" style="127"/>
    <col min="8193" max="8197" width="2.7109375" style="127" customWidth="1"/>
    <col min="8198" max="8198" width="3.85546875" style="127" customWidth="1"/>
    <col min="8199" max="8228" width="2.7109375" style="127" customWidth="1"/>
    <col min="8229" max="8229" width="11.42578125" style="127"/>
    <col min="8230" max="8230" width="11.5703125" style="127" customWidth="1"/>
    <col min="8231" max="8231" width="12.5703125" style="127" customWidth="1"/>
    <col min="8232" max="8232" width="11.5703125" style="127" customWidth="1"/>
    <col min="8233" max="8448" width="11.42578125" style="127"/>
    <col min="8449" max="8453" width="2.7109375" style="127" customWidth="1"/>
    <col min="8454" max="8454" width="3.85546875" style="127" customWidth="1"/>
    <col min="8455" max="8484" width="2.7109375" style="127" customWidth="1"/>
    <col min="8485" max="8485" width="11.42578125" style="127"/>
    <col min="8486" max="8486" width="11.5703125" style="127" customWidth="1"/>
    <col min="8487" max="8487" width="12.5703125" style="127" customWidth="1"/>
    <col min="8488" max="8488" width="11.5703125" style="127" customWidth="1"/>
    <col min="8489" max="8704" width="11.42578125" style="127"/>
    <col min="8705" max="8709" width="2.7109375" style="127" customWidth="1"/>
    <col min="8710" max="8710" width="3.85546875" style="127" customWidth="1"/>
    <col min="8711" max="8740" width="2.7109375" style="127" customWidth="1"/>
    <col min="8741" max="8741" width="11.42578125" style="127"/>
    <col min="8742" max="8742" width="11.5703125" style="127" customWidth="1"/>
    <col min="8743" max="8743" width="12.5703125" style="127" customWidth="1"/>
    <col min="8744" max="8744" width="11.5703125" style="127" customWidth="1"/>
    <col min="8745" max="8960" width="11.42578125" style="127"/>
    <col min="8961" max="8965" width="2.7109375" style="127" customWidth="1"/>
    <col min="8966" max="8966" width="3.85546875" style="127" customWidth="1"/>
    <col min="8967" max="8996" width="2.7109375" style="127" customWidth="1"/>
    <col min="8997" max="8997" width="11.42578125" style="127"/>
    <col min="8998" max="8998" width="11.5703125" style="127" customWidth="1"/>
    <col min="8999" max="8999" width="12.5703125" style="127" customWidth="1"/>
    <col min="9000" max="9000" width="11.5703125" style="127" customWidth="1"/>
    <col min="9001" max="9216" width="11.42578125" style="127"/>
    <col min="9217" max="9221" width="2.7109375" style="127" customWidth="1"/>
    <col min="9222" max="9222" width="3.85546875" style="127" customWidth="1"/>
    <col min="9223" max="9252" width="2.7109375" style="127" customWidth="1"/>
    <col min="9253" max="9253" width="11.42578125" style="127"/>
    <col min="9254" max="9254" width="11.5703125" style="127" customWidth="1"/>
    <col min="9255" max="9255" width="12.5703125" style="127" customWidth="1"/>
    <col min="9256" max="9256" width="11.5703125" style="127" customWidth="1"/>
    <col min="9257" max="9472" width="11.42578125" style="127"/>
    <col min="9473" max="9477" width="2.7109375" style="127" customWidth="1"/>
    <col min="9478" max="9478" width="3.85546875" style="127" customWidth="1"/>
    <col min="9479" max="9508" width="2.7109375" style="127" customWidth="1"/>
    <col min="9509" max="9509" width="11.42578125" style="127"/>
    <col min="9510" max="9510" width="11.5703125" style="127" customWidth="1"/>
    <col min="9511" max="9511" width="12.5703125" style="127" customWidth="1"/>
    <col min="9512" max="9512" width="11.5703125" style="127" customWidth="1"/>
    <col min="9513" max="9728" width="11.42578125" style="127"/>
    <col min="9729" max="9733" width="2.7109375" style="127" customWidth="1"/>
    <col min="9734" max="9734" width="3.85546875" style="127" customWidth="1"/>
    <col min="9735" max="9764" width="2.7109375" style="127" customWidth="1"/>
    <col min="9765" max="9765" width="11.42578125" style="127"/>
    <col min="9766" max="9766" width="11.5703125" style="127" customWidth="1"/>
    <col min="9767" max="9767" width="12.5703125" style="127" customWidth="1"/>
    <col min="9768" max="9768" width="11.5703125" style="127" customWidth="1"/>
    <col min="9769" max="9984" width="11.42578125" style="127"/>
    <col min="9985" max="9989" width="2.7109375" style="127" customWidth="1"/>
    <col min="9990" max="9990" width="3.85546875" style="127" customWidth="1"/>
    <col min="9991" max="10020" width="2.7109375" style="127" customWidth="1"/>
    <col min="10021" max="10021" width="11.42578125" style="127"/>
    <col min="10022" max="10022" width="11.5703125" style="127" customWidth="1"/>
    <col min="10023" max="10023" width="12.5703125" style="127" customWidth="1"/>
    <col min="10024" max="10024" width="11.5703125" style="127" customWidth="1"/>
    <col min="10025" max="10240" width="11.42578125" style="127"/>
    <col min="10241" max="10245" width="2.7109375" style="127" customWidth="1"/>
    <col min="10246" max="10246" width="3.85546875" style="127" customWidth="1"/>
    <col min="10247" max="10276" width="2.7109375" style="127" customWidth="1"/>
    <col min="10277" max="10277" width="11.42578125" style="127"/>
    <col min="10278" max="10278" width="11.5703125" style="127" customWidth="1"/>
    <col min="10279" max="10279" width="12.5703125" style="127" customWidth="1"/>
    <col min="10280" max="10280" width="11.5703125" style="127" customWidth="1"/>
    <col min="10281" max="10496" width="11.42578125" style="127"/>
    <col min="10497" max="10501" width="2.7109375" style="127" customWidth="1"/>
    <col min="10502" max="10502" width="3.85546875" style="127" customWidth="1"/>
    <col min="10503" max="10532" width="2.7109375" style="127" customWidth="1"/>
    <col min="10533" max="10533" width="11.42578125" style="127"/>
    <col min="10534" max="10534" width="11.5703125" style="127" customWidth="1"/>
    <col min="10535" max="10535" width="12.5703125" style="127" customWidth="1"/>
    <col min="10536" max="10536" width="11.5703125" style="127" customWidth="1"/>
    <col min="10537" max="10752" width="11.42578125" style="127"/>
    <col min="10753" max="10757" width="2.7109375" style="127" customWidth="1"/>
    <col min="10758" max="10758" width="3.85546875" style="127" customWidth="1"/>
    <col min="10759" max="10788" width="2.7109375" style="127" customWidth="1"/>
    <col min="10789" max="10789" width="11.42578125" style="127"/>
    <col min="10790" max="10790" width="11.5703125" style="127" customWidth="1"/>
    <col min="10791" max="10791" width="12.5703125" style="127" customWidth="1"/>
    <col min="10792" max="10792" width="11.5703125" style="127" customWidth="1"/>
    <col min="10793" max="11008" width="11.42578125" style="127"/>
    <col min="11009" max="11013" width="2.7109375" style="127" customWidth="1"/>
    <col min="11014" max="11014" width="3.85546875" style="127" customWidth="1"/>
    <col min="11015" max="11044" width="2.7109375" style="127" customWidth="1"/>
    <col min="11045" max="11045" width="11.42578125" style="127"/>
    <col min="11046" max="11046" width="11.5703125" style="127" customWidth="1"/>
    <col min="11047" max="11047" width="12.5703125" style="127" customWidth="1"/>
    <col min="11048" max="11048" width="11.5703125" style="127" customWidth="1"/>
    <col min="11049" max="11264" width="11.42578125" style="127"/>
    <col min="11265" max="11269" width="2.7109375" style="127" customWidth="1"/>
    <col min="11270" max="11270" width="3.85546875" style="127" customWidth="1"/>
    <col min="11271" max="11300" width="2.7109375" style="127" customWidth="1"/>
    <col min="11301" max="11301" width="11.42578125" style="127"/>
    <col min="11302" max="11302" width="11.5703125" style="127" customWidth="1"/>
    <col min="11303" max="11303" width="12.5703125" style="127" customWidth="1"/>
    <col min="11304" max="11304" width="11.5703125" style="127" customWidth="1"/>
    <col min="11305" max="11520" width="11.42578125" style="127"/>
    <col min="11521" max="11525" width="2.7109375" style="127" customWidth="1"/>
    <col min="11526" max="11526" width="3.85546875" style="127" customWidth="1"/>
    <col min="11527" max="11556" width="2.7109375" style="127" customWidth="1"/>
    <col min="11557" max="11557" width="11.42578125" style="127"/>
    <col min="11558" max="11558" width="11.5703125" style="127" customWidth="1"/>
    <col min="11559" max="11559" width="12.5703125" style="127" customWidth="1"/>
    <col min="11560" max="11560" width="11.5703125" style="127" customWidth="1"/>
    <col min="11561" max="11776" width="11.42578125" style="127"/>
    <col min="11777" max="11781" width="2.7109375" style="127" customWidth="1"/>
    <col min="11782" max="11782" width="3.85546875" style="127" customWidth="1"/>
    <col min="11783" max="11812" width="2.7109375" style="127" customWidth="1"/>
    <col min="11813" max="11813" width="11.42578125" style="127"/>
    <col min="11814" max="11814" width="11.5703125" style="127" customWidth="1"/>
    <col min="11815" max="11815" width="12.5703125" style="127" customWidth="1"/>
    <col min="11816" max="11816" width="11.5703125" style="127" customWidth="1"/>
    <col min="11817" max="12032" width="11.42578125" style="127"/>
    <col min="12033" max="12037" width="2.7109375" style="127" customWidth="1"/>
    <col min="12038" max="12038" width="3.85546875" style="127" customWidth="1"/>
    <col min="12039" max="12068" width="2.7109375" style="127" customWidth="1"/>
    <col min="12069" max="12069" width="11.42578125" style="127"/>
    <col min="12070" max="12070" width="11.5703125" style="127" customWidth="1"/>
    <col min="12071" max="12071" width="12.5703125" style="127" customWidth="1"/>
    <col min="12072" max="12072" width="11.5703125" style="127" customWidth="1"/>
    <col min="12073" max="12288" width="11.42578125" style="127"/>
    <col min="12289" max="12293" width="2.7109375" style="127" customWidth="1"/>
    <col min="12294" max="12294" width="3.85546875" style="127" customWidth="1"/>
    <col min="12295" max="12324" width="2.7109375" style="127" customWidth="1"/>
    <col min="12325" max="12325" width="11.42578125" style="127"/>
    <col min="12326" max="12326" width="11.5703125" style="127" customWidth="1"/>
    <col min="12327" max="12327" width="12.5703125" style="127" customWidth="1"/>
    <col min="12328" max="12328" width="11.5703125" style="127" customWidth="1"/>
    <col min="12329" max="12544" width="11.42578125" style="127"/>
    <col min="12545" max="12549" width="2.7109375" style="127" customWidth="1"/>
    <col min="12550" max="12550" width="3.85546875" style="127" customWidth="1"/>
    <col min="12551" max="12580" width="2.7109375" style="127" customWidth="1"/>
    <col min="12581" max="12581" width="11.42578125" style="127"/>
    <col min="12582" max="12582" width="11.5703125" style="127" customWidth="1"/>
    <col min="12583" max="12583" width="12.5703125" style="127" customWidth="1"/>
    <col min="12584" max="12584" width="11.5703125" style="127" customWidth="1"/>
    <col min="12585" max="12800" width="11.42578125" style="127"/>
    <col min="12801" max="12805" width="2.7109375" style="127" customWidth="1"/>
    <col min="12806" max="12806" width="3.85546875" style="127" customWidth="1"/>
    <col min="12807" max="12836" width="2.7109375" style="127" customWidth="1"/>
    <col min="12837" max="12837" width="11.42578125" style="127"/>
    <col min="12838" max="12838" width="11.5703125" style="127" customWidth="1"/>
    <col min="12839" max="12839" width="12.5703125" style="127" customWidth="1"/>
    <col min="12840" max="12840" width="11.5703125" style="127" customWidth="1"/>
    <col min="12841" max="13056" width="11.42578125" style="127"/>
    <col min="13057" max="13061" width="2.7109375" style="127" customWidth="1"/>
    <col min="13062" max="13062" width="3.85546875" style="127" customWidth="1"/>
    <col min="13063" max="13092" width="2.7109375" style="127" customWidth="1"/>
    <col min="13093" max="13093" width="11.42578125" style="127"/>
    <col min="13094" max="13094" width="11.5703125" style="127" customWidth="1"/>
    <col min="13095" max="13095" width="12.5703125" style="127" customWidth="1"/>
    <col min="13096" max="13096" width="11.5703125" style="127" customWidth="1"/>
    <col min="13097" max="13312" width="11.42578125" style="127"/>
    <col min="13313" max="13317" width="2.7109375" style="127" customWidth="1"/>
    <col min="13318" max="13318" width="3.85546875" style="127" customWidth="1"/>
    <col min="13319" max="13348" width="2.7109375" style="127" customWidth="1"/>
    <col min="13349" max="13349" width="11.42578125" style="127"/>
    <col min="13350" max="13350" width="11.5703125" style="127" customWidth="1"/>
    <col min="13351" max="13351" width="12.5703125" style="127" customWidth="1"/>
    <col min="13352" max="13352" width="11.5703125" style="127" customWidth="1"/>
    <col min="13353" max="13568" width="11.42578125" style="127"/>
    <col min="13569" max="13573" width="2.7109375" style="127" customWidth="1"/>
    <col min="13574" max="13574" width="3.85546875" style="127" customWidth="1"/>
    <col min="13575" max="13604" width="2.7109375" style="127" customWidth="1"/>
    <col min="13605" max="13605" width="11.42578125" style="127"/>
    <col min="13606" max="13606" width="11.5703125" style="127" customWidth="1"/>
    <col min="13607" max="13607" width="12.5703125" style="127" customWidth="1"/>
    <col min="13608" max="13608" width="11.5703125" style="127" customWidth="1"/>
    <col min="13609" max="13824" width="11.42578125" style="127"/>
    <col min="13825" max="13829" width="2.7109375" style="127" customWidth="1"/>
    <col min="13830" max="13830" width="3.85546875" style="127" customWidth="1"/>
    <col min="13831" max="13860" width="2.7109375" style="127" customWidth="1"/>
    <col min="13861" max="13861" width="11.42578125" style="127"/>
    <col min="13862" max="13862" width="11.5703125" style="127" customWidth="1"/>
    <col min="13863" max="13863" width="12.5703125" style="127" customWidth="1"/>
    <col min="13864" max="13864" width="11.5703125" style="127" customWidth="1"/>
    <col min="13865" max="14080" width="11.42578125" style="127"/>
    <col min="14081" max="14085" width="2.7109375" style="127" customWidth="1"/>
    <col min="14086" max="14086" width="3.85546875" style="127" customWidth="1"/>
    <col min="14087" max="14116" width="2.7109375" style="127" customWidth="1"/>
    <col min="14117" max="14117" width="11.42578125" style="127"/>
    <col min="14118" max="14118" width="11.5703125" style="127" customWidth="1"/>
    <col min="14119" max="14119" width="12.5703125" style="127" customWidth="1"/>
    <col min="14120" max="14120" width="11.5703125" style="127" customWidth="1"/>
    <col min="14121" max="14336" width="11.42578125" style="127"/>
    <col min="14337" max="14341" width="2.7109375" style="127" customWidth="1"/>
    <col min="14342" max="14342" width="3.85546875" style="127" customWidth="1"/>
    <col min="14343" max="14372" width="2.7109375" style="127" customWidth="1"/>
    <col min="14373" max="14373" width="11.42578125" style="127"/>
    <col min="14374" max="14374" width="11.5703125" style="127" customWidth="1"/>
    <col min="14375" max="14375" width="12.5703125" style="127" customWidth="1"/>
    <col min="14376" max="14376" width="11.5703125" style="127" customWidth="1"/>
    <col min="14377" max="14592" width="11.42578125" style="127"/>
    <col min="14593" max="14597" width="2.7109375" style="127" customWidth="1"/>
    <col min="14598" max="14598" width="3.85546875" style="127" customWidth="1"/>
    <col min="14599" max="14628" width="2.7109375" style="127" customWidth="1"/>
    <col min="14629" max="14629" width="11.42578125" style="127"/>
    <col min="14630" max="14630" width="11.5703125" style="127" customWidth="1"/>
    <col min="14631" max="14631" width="12.5703125" style="127" customWidth="1"/>
    <col min="14632" max="14632" width="11.5703125" style="127" customWidth="1"/>
    <col min="14633" max="14848" width="11.42578125" style="127"/>
    <col min="14849" max="14853" width="2.7109375" style="127" customWidth="1"/>
    <col min="14854" max="14854" width="3.85546875" style="127" customWidth="1"/>
    <col min="14855" max="14884" width="2.7109375" style="127" customWidth="1"/>
    <col min="14885" max="14885" width="11.42578125" style="127"/>
    <col min="14886" max="14886" width="11.5703125" style="127" customWidth="1"/>
    <col min="14887" max="14887" width="12.5703125" style="127" customWidth="1"/>
    <col min="14888" max="14888" width="11.5703125" style="127" customWidth="1"/>
    <col min="14889" max="15104" width="11.42578125" style="127"/>
    <col min="15105" max="15109" width="2.7109375" style="127" customWidth="1"/>
    <col min="15110" max="15110" width="3.85546875" style="127" customWidth="1"/>
    <col min="15111" max="15140" width="2.7109375" style="127" customWidth="1"/>
    <col min="15141" max="15141" width="11.42578125" style="127"/>
    <col min="15142" max="15142" width="11.5703125" style="127" customWidth="1"/>
    <col min="15143" max="15143" width="12.5703125" style="127" customWidth="1"/>
    <col min="15144" max="15144" width="11.5703125" style="127" customWidth="1"/>
    <col min="15145" max="15360" width="11.42578125" style="127"/>
    <col min="15361" max="15365" width="2.7109375" style="127" customWidth="1"/>
    <col min="15366" max="15366" width="3.85546875" style="127" customWidth="1"/>
    <col min="15367" max="15396" width="2.7109375" style="127" customWidth="1"/>
    <col min="15397" max="15397" width="11.42578125" style="127"/>
    <col min="15398" max="15398" width="11.5703125" style="127" customWidth="1"/>
    <col min="15399" max="15399" width="12.5703125" style="127" customWidth="1"/>
    <col min="15400" max="15400" width="11.5703125" style="127" customWidth="1"/>
    <col min="15401" max="15616" width="11.42578125" style="127"/>
    <col min="15617" max="15621" width="2.7109375" style="127" customWidth="1"/>
    <col min="15622" max="15622" width="3.85546875" style="127" customWidth="1"/>
    <col min="15623" max="15652" width="2.7109375" style="127" customWidth="1"/>
    <col min="15653" max="15653" width="11.42578125" style="127"/>
    <col min="15654" max="15654" width="11.5703125" style="127" customWidth="1"/>
    <col min="15655" max="15655" width="12.5703125" style="127" customWidth="1"/>
    <col min="15656" max="15656" width="11.5703125" style="127" customWidth="1"/>
    <col min="15657" max="15872" width="11.42578125" style="127"/>
    <col min="15873" max="15877" width="2.7109375" style="127" customWidth="1"/>
    <col min="15878" max="15878" width="3.85546875" style="127" customWidth="1"/>
    <col min="15879" max="15908" width="2.7109375" style="127" customWidth="1"/>
    <col min="15909" max="15909" width="11.42578125" style="127"/>
    <col min="15910" max="15910" width="11.5703125" style="127" customWidth="1"/>
    <col min="15911" max="15911" width="12.5703125" style="127" customWidth="1"/>
    <col min="15912" max="15912" width="11.5703125" style="127" customWidth="1"/>
    <col min="15913" max="16128" width="11.42578125" style="127"/>
    <col min="16129" max="16133" width="2.7109375" style="127" customWidth="1"/>
    <col min="16134" max="16134" width="3.85546875" style="127" customWidth="1"/>
    <col min="16135" max="16164" width="2.7109375" style="127" customWidth="1"/>
    <col min="16165" max="16165" width="11.42578125" style="127"/>
    <col min="16166" max="16166" width="11.5703125" style="127" customWidth="1"/>
    <col min="16167" max="16167" width="12.5703125" style="127" customWidth="1"/>
    <col min="16168" max="16168" width="11.5703125" style="127" customWidth="1"/>
    <col min="16169" max="16384" width="11.42578125" style="127"/>
  </cols>
  <sheetData>
    <row r="1" spans="1:46" ht="15" customHeight="1">
      <c r="A1" s="123"/>
      <c r="B1" s="124"/>
      <c r="C1" s="124"/>
      <c r="D1" s="124"/>
      <c r="E1" s="124"/>
      <c r="F1" s="124"/>
      <c r="G1" s="125"/>
      <c r="H1" s="2242" t="s">
        <v>9</v>
      </c>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126"/>
      <c r="AL1" s="2232" t="s">
        <v>72</v>
      </c>
      <c r="AM1" s="2232"/>
      <c r="AN1" s="2232"/>
      <c r="AO1" s="2232"/>
      <c r="AP1" s="2232"/>
    </row>
    <row r="2" spans="1:46" ht="27.95" customHeight="1">
      <c r="A2" s="2256"/>
      <c r="B2" s="2257"/>
      <c r="C2" s="2257"/>
      <c r="D2" s="2257"/>
      <c r="E2" s="2257"/>
      <c r="F2" s="2257"/>
      <c r="G2" s="2258"/>
      <c r="H2" s="2233" t="s">
        <v>643</v>
      </c>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5"/>
      <c r="AL2" s="785"/>
      <c r="AM2" s="785"/>
      <c r="AN2" s="785"/>
      <c r="AO2" s="785"/>
      <c r="AP2" s="785"/>
    </row>
    <row r="3" spans="1:46" ht="15" customHeight="1">
      <c r="A3" s="2256"/>
      <c r="B3" s="2257"/>
      <c r="C3" s="2257"/>
      <c r="D3" s="2257"/>
      <c r="E3" s="2257"/>
      <c r="F3" s="2257"/>
      <c r="G3" s="2258"/>
      <c r="H3" s="2236" t="s">
        <v>585</v>
      </c>
      <c r="I3" s="2237"/>
      <c r="J3" s="2237"/>
      <c r="K3" s="2237"/>
      <c r="L3" s="2237"/>
      <c r="M3" s="2237"/>
      <c r="N3" s="2237"/>
      <c r="O3" s="2237"/>
      <c r="P3" s="2237"/>
      <c r="Q3" s="2237"/>
      <c r="R3" s="2237"/>
      <c r="S3" s="2237"/>
      <c r="T3" s="2237"/>
      <c r="U3" s="2237"/>
      <c r="V3" s="2237"/>
      <c r="W3" s="2237"/>
      <c r="X3" s="2237"/>
      <c r="Y3" s="2237"/>
      <c r="Z3" s="2237"/>
      <c r="AA3" s="2237"/>
      <c r="AB3" s="2237"/>
      <c r="AC3" s="2237"/>
      <c r="AD3" s="2237"/>
      <c r="AE3" s="2237"/>
      <c r="AF3" s="2237"/>
      <c r="AG3" s="2237"/>
      <c r="AH3" s="2237"/>
      <c r="AI3" s="2237"/>
      <c r="AJ3" s="2238"/>
      <c r="AL3" s="785"/>
      <c r="AM3" s="785"/>
      <c r="AN3" s="785"/>
      <c r="AO3" s="785"/>
      <c r="AP3" s="785"/>
    </row>
    <row r="4" spans="1:46" ht="12.95" customHeight="1">
      <c r="A4" s="2256"/>
      <c r="B4" s="2257"/>
      <c r="C4" s="2257"/>
      <c r="D4" s="2257"/>
      <c r="E4" s="2257"/>
      <c r="F4" s="2257"/>
      <c r="G4" s="2258"/>
      <c r="H4" s="2239" t="s">
        <v>593</v>
      </c>
      <c r="I4" s="2240"/>
      <c r="J4" s="2240"/>
      <c r="K4" s="2240"/>
      <c r="L4" s="2240"/>
      <c r="M4" s="2240"/>
      <c r="N4" s="2240"/>
      <c r="O4" s="2240"/>
      <c r="P4" s="2240"/>
      <c r="Q4" s="2240"/>
      <c r="R4" s="2240"/>
      <c r="S4" s="2240"/>
      <c r="T4" s="2240"/>
      <c r="U4" s="2240"/>
      <c r="V4" s="2241"/>
      <c r="W4" s="2239" t="s">
        <v>596</v>
      </c>
      <c r="X4" s="2240"/>
      <c r="Y4" s="2240"/>
      <c r="Z4" s="2240"/>
      <c r="AA4" s="2240"/>
      <c r="AB4" s="2240"/>
      <c r="AC4" s="2240"/>
      <c r="AD4" s="2240"/>
      <c r="AE4" s="2240"/>
      <c r="AF4" s="2240"/>
      <c r="AG4" s="2240"/>
      <c r="AH4" s="2240"/>
      <c r="AI4" s="2240"/>
      <c r="AJ4" s="2241"/>
      <c r="AL4" s="786" t="s">
        <v>73</v>
      </c>
    </row>
    <row r="5" spans="1:46" ht="12.95" customHeight="1">
      <c r="A5" s="2259"/>
      <c r="B5" s="2260"/>
      <c r="C5" s="2260"/>
      <c r="D5" s="2260"/>
      <c r="E5" s="2260"/>
      <c r="F5" s="2260"/>
      <c r="G5" s="2261"/>
      <c r="H5" s="2262" t="s">
        <v>640</v>
      </c>
      <c r="I5" s="2263"/>
      <c r="J5" s="2263"/>
      <c r="K5" s="2263"/>
      <c r="L5" s="2263"/>
      <c r="M5" s="2263"/>
      <c r="N5" s="2263"/>
      <c r="O5" s="2263"/>
      <c r="P5" s="2263"/>
      <c r="Q5" s="2263"/>
      <c r="R5" s="2263"/>
      <c r="S5" s="2263"/>
      <c r="T5" s="2263"/>
      <c r="U5" s="2263"/>
      <c r="V5" s="2263"/>
      <c r="W5" s="2263"/>
      <c r="X5" s="2263"/>
      <c r="Y5" s="2263"/>
      <c r="Z5" s="2263"/>
      <c r="AA5" s="2263"/>
      <c r="AB5" s="2263"/>
      <c r="AC5" s="2263"/>
      <c r="AD5" s="2263"/>
      <c r="AE5" s="2263"/>
      <c r="AF5" s="2263"/>
      <c r="AG5" s="2263"/>
      <c r="AH5" s="2263"/>
      <c r="AI5" s="2263"/>
      <c r="AJ5" s="2264"/>
      <c r="AL5" s="787"/>
      <c r="AM5" s="787"/>
      <c r="AN5" s="787"/>
      <c r="AO5" s="787"/>
      <c r="AP5" s="787"/>
      <c r="AQ5" s="788" t="s">
        <v>74</v>
      </c>
      <c r="AR5" s="789" t="s">
        <v>75</v>
      </c>
      <c r="AS5" s="789" t="s">
        <v>76</v>
      </c>
    </row>
    <row r="6" spans="1:46" ht="14.1" customHeight="1">
      <c r="A6" s="2251" t="s">
        <v>5</v>
      </c>
      <c r="B6" s="2252"/>
      <c r="C6" s="2252"/>
      <c r="D6" s="2252"/>
      <c r="E6" s="2255" t="str">
        <f>IF('Gradacion '!E6="","",+'Gradacion '!E6)</f>
        <v/>
      </c>
      <c r="F6" s="2255"/>
      <c r="G6" s="2255"/>
      <c r="H6" s="2255"/>
      <c r="I6" s="2255"/>
      <c r="J6" s="2255"/>
      <c r="K6" s="2255"/>
      <c r="L6" s="2255"/>
      <c r="M6" s="2255"/>
      <c r="N6" s="2255"/>
      <c r="O6" s="2255"/>
      <c r="P6" s="2255"/>
      <c r="Q6" s="2255"/>
      <c r="R6" s="2255"/>
      <c r="S6" s="2255"/>
      <c r="T6" s="2255"/>
      <c r="U6" s="2255"/>
      <c r="V6" s="2255"/>
      <c r="W6" s="2255"/>
      <c r="X6" s="2255"/>
      <c r="Y6" s="2248" t="s">
        <v>324</v>
      </c>
      <c r="Z6" s="2248"/>
      <c r="AA6" s="2248"/>
      <c r="AB6" s="2248"/>
      <c r="AC6" s="2248"/>
      <c r="AD6" s="2248"/>
      <c r="AE6" s="2246"/>
      <c r="AF6" s="2246"/>
      <c r="AG6" s="2246"/>
      <c r="AH6" s="2246"/>
      <c r="AI6" s="2246"/>
      <c r="AJ6" s="2247"/>
      <c r="AL6" s="787">
        <v>1</v>
      </c>
      <c r="AM6" s="790">
        <v>41901</v>
      </c>
      <c r="AN6" s="787">
        <v>1500</v>
      </c>
      <c r="AO6" s="787">
        <f t="shared" ref="AO6:AO23" si="0">+AN6-(AN6*AP6/100)</f>
        <v>1225.5</v>
      </c>
      <c r="AP6" s="787">
        <v>18.3</v>
      </c>
      <c r="AQ6" s="791">
        <v>18.399999999999999</v>
      </c>
      <c r="AR6" s="791">
        <v>17.5</v>
      </c>
      <c r="AS6" s="791">
        <v>20.7</v>
      </c>
    </row>
    <row r="7" spans="1:46" s="129" customFormat="1" ht="14.1" customHeight="1">
      <c r="A7" s="2265" t="s">
        <v>17</v>
      </c>
      <c r="B7" s="2266"/>
      <c r="C7" s="2266"/>
      <c r="D7" s="2266"/>
      <c r="E7" s="2254" t="str">
        <f>IF('Gradacion '!E7="","",+'Gradacion '!E7)</f>
        <v/>
      </c>
      <c r="F7" s="2254"/>
      <c r="G7" s="2254"/>
      <c r="H7" s="2254"/>
      <c r="I7" s="2254"/>
      <c r="J7" s="2254"/>
      <c r="K7" s="2254"/>
      <c r="L7" s="2253" t="s">
        <v>18</v>
      </c>
      <c r="M7" s="2253"/>
      <c r="N7" s="2253"/>
      <c r="O7" s="2253"/>
      <c r="P7" s="2254" t="str">
        <f>IF('Gradacion '!O7="","",'Gradacion '!O7)</f>
        <v/>
      </c>
      <c r="Q7" s="2254"/>
      <c r="R7" s="2254"/>
      <c r="S7" s="2254"/>
      <c r="T7" s="2254"/>
      <c r="U7" s="2254"/>
      <c r="V7" s="2254"/>
      <c r="W7" s="2254"/>
      <c r="X7" s="2254"/>
      <c r="Y7" s="2215" t="s">
        <v>40</v>
      </c>
      <c r="Z7" s="2215"/>
      <c r="AA7" s="2215"/>
      <c r="AB7" s="2215"/>
      <c r="AC7" s="2215"/>
      <c r="AD7" s="2215"/>
      <c r="AE7" s="2249" t="str">
        <f>IF('Gradacion '!AB7="","",+'Gradacion '!AB7)</f>
        <v/>
      </c>
      <c r="AF7" s="2249"/>
      <c r="AG7" s="2249"/>
      <c r="AH7" s="2249"/>
      <c r="AI7" s="2249"/>
      <c r="AJ7" s="2250"/>
      <c r="AK7" s="792"/>
      <c r="AL7" s="787">
        <v>2</v>
      </c>
      <c r="AM7" s="790">
        <v>41901</v>
      </c>
      <c r="AN7" s="787">
        <v>1500</v>
      </c>
      <c r="AO7" s="793">
        <f t="shared" si="0"/>
        <v>1233</v>
      </c>
      <c r="AP7" s="787">
        <v>17.8</v>
      </c>
      <c r="AQ7" s="791">
        <v>18.399999999999999</v>
      </c>
      <c r="AR7" s="791">
        <v>17.5</v>
      </c>
      <c r="AS7" s="791">
        <v>20.7</v>
      </c>
      <c r="AT7" s="792"/>
    </row>
    <row r="8" spans="1:46" s="129" customFormat="1" ht="14.1" customHeight="1">
      <c r="A8" s="2265" t="s">
        <v>465</v>
      </c>
      <c r="B8" s="2266"/>
      <c r="C8" s="2266"/>
      <c r="D8" s="2266"/>
      <c r="E8" s="2254" t="str">
        <f>IF('Gradacion '!E8="","",+'Gradacion '!E8)</f>
        <v/>
      </c>
      <c r="F8" s="2254"/>
      <c r="G8" s="2254"/>
      <c r="H8" s="2254"/>
      <c r="I8" s="2254"/>
      <c r="J8" s="2254"/>
      <c r="K8" s="2254"/>
      <c r="L8" s="2271" t="s">
        <v>19</v>
      </c>
      <c r="M8" s="2271"/>
      <c r="N8" s="2271"/>
      <c r="O8" s="2271"/>
      <c r="P8" s="2254" t="str">
        <f>IF('Gradacion '!O8="","",'Gradacion '!O8)</f>
        <v/>
      </c>
      <c r="Q8" s="2254"/>
      <c r="R8" s="2254"/>
      <c r="S8" s="2254"/>
      <c r="T8" s="2254"/>
      <c r="U8" s="2254"/>
      <c r="V8" s="2254"/>
      <c r="W8" s="2254"/>
      <c r="X8" s="2254"/>
      <c r="Y8" s="2215" t="s">
        <v>407</v>
      </c>
      <c r="Z8" s="2215"/>
      <c r="AA8" s="2215"/>
      <c r="AB8" s="2215"/>
      <c r="AC8" s="2215"/>
      <c r="AD8" s="2215"/>
      <c r="AE8" s="2244"/>
      <c r="AF8" s="2244"/>
      <c r="AG8" s="2244"/>
      <c r="AH8" s="2244"/>
      <c r="AI8" s="2244"/>
      <c r="AJ8" s="2245"/>
      <c r="AK8" s="792"/>
      <c r="AL8" s="787">
        <v>3</v>
      </c>
      <c r="AM8" s="790">
        <v>41902</v>
      </c>
      <c r="AN8" s="787">
        <v>1500</v>
      </c>
      <c r="AO8" s="793">
        <f t="shared" si="0"/>
        <v>1230</v>
      </c>
      <c r="AP8" s="787">
        <v>18</v>
      </c>
      <c r="AQ8" s="791">
        <v>18.399999999999999</v>
      </c>
      <c r="AR8" s="791">
        <v>17.5</v>
      </c>
      <c r="AS8" s="791">
        <v>20.7</v>
      </c>
      <c r="AT8" s="792"/>
    </row>
    <row r="9" spans="1:46" s="129" customFormat="1" ht="14.1" customHeight="1">
      <c r="A9" s="2267" t="s">
        <v>6</v>
      </c>
      <c r="B9" s="2268"/>
      <c r="C9" s="2268"/>
      <c r="D9" s="2268"/>
      <c r="E9" s="2269" t="str">
        <f>IF('Gradacion '!E9="","",+'Gradacion '!E9)</f>
        <v/>
      </c>
      <c r="F9" s="2269"/>
      <c r="G9" s="2269"/>
      <c r="H9" s="2269"/>
      <c r="I9" s="2269"/>
      <c r="J9" s="2269"/>
      <c r="K9" s="2269"/>
      <c r="L9" s="2269"/>
      <c r="M9" s="2269"/>
      <c r="N9" s="2269"/>
      <c r="O9" s="2269"/>
      <c r="P9" s="2269"/>
      <c r="Q9" s="2269"/>
      <c r="R9" s="2269"/>
      <c r="S9" s="2269"/>
      <c r="T9" s="2269"/>
      <c r="U9" s="2269"/>
      <c r="V9" s="2269"/>
      <c r="W9" s="2269"/>
      <c r="X9" s="2269"/>
      <c r="Y9" s="2270" t="s">
        <v>635</v>
      </c>
      <c r="Z9" s="2270"/>
      <c r="AA9" s="2270"/>
      <c r="AB9" s="2270"/>
      <c r="AC9" s="2270"/>
      <c r="AD9" s="2270"/>
      <c r="AE9" s="2249" t="str">
        <f>IF('Gradacion '!AB9="","",+'Gradacion '!AB9)</f>
        <v/>
      </c>
      <c r="AF9" s="2249"/>
      <c r="AG9" s="2249"/>
      <c r="AH9" s="2249"/>
      <c r="AI9" s="2249"/>
      <c r="AJ9" s="2250"/>
      <c r="AK9" s="792"/>
      <c r="AL9" s="787">
        <v>4</v>
      </c>
      <c r="AM9" s="790">
        <v>41904</v>
      </c>
      <c r="AN9" s="787">
        <v>1500</v>
      </c>
      <c r="AO9" s="787">
        <f t="shared" si="0"/>
        <v>1207.5</v>
      </c>
      <c r="AP9" s="787">
        <v>19.5</v>
      </c>
      <c r="AQ9" s="791">
        <v>18.399999999999999</v>
      </c>
      <c r="AR9" s="791">
        <v>17.5</v>
      </c>
      <c r="AS9" s="791">
        <v>20.7</v>
      </c>
      <c r="AT9" s="792"/>
    </row>
    <row r="10" spans="1:46" s="129" customFormat="1" ht="5.25" customHeight="1">
      <c r="A10" s="130"/>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2"/>
      <c r="AK10" s="792"/>
      <c r="AL10" s="787">
        <v>5</v>
      </c>
      <c r="AM10" s="790">
        <v>41904</v>
      </c>
      <c r="AN10" s="787">
        <v>1500</v>
      </c>
      <c r="AO10" s="787">
        <f t="shared" si="0"/>
        <v>1228.5</v>
      </c>
      <c r="AP10" s="787">
        <v>18.100000000000001</v>
      </c>
      <c r="AQ10" s="791">
        <v>18.399999999999999</v>
      </c>
      <c r="AR10" s="791">
        <v>17.5</v>
      </c>
      <c r="AS10" s="791">
        <v>20.7</v>
      </c>
      <c r="AT10" s="792"/>
    </row>
    <row r="11" spans="1:46" s="129" customFormat="1" ht="17.100000000000001" customHeight="1">
      <c r="A11" s="133"/>
      <c r="B11" s="134"/>
      <c r="C11" s="134"/>
      <c r="D11" s="134"/>
      <c r="E11" s="134"/>
      <c r="F11" s="2272" t="s">
        <v>77</v>
      </c>
      <c r="G11" s="2273"/>
      <c r="H11" s="2273"/>
      <c r="I11" s="2273"/>
      <c r="J11" s="2273"/>
      <c r="K11" s="2273"/>
      <c r="L11" s="2273"/>
      <c r="M11" s="2273"/>
      <c r="N11" s="2273"/>
      <c r="O11" s="2273"/>
      <c r="P11" s="2273"/>
      <c r="Q11" s="2273"/>
      <c r="R11" s="2273"/>
      <c r="S11" s="2273"/>
      <c r="T11" s="2273"/>
      <c r="U11" s="2273"/>
      <c r="V11" s="2224"/>
      <c r="W11" s="2224"/>
      <c r="X11" s="2225"/>
      <c r="Y11" s="2217"/>
      <c r="Z11" s="2217"/>
      <c r="AA11" s="2217"/>
      <c r="AB11" s="2217"/>
      <c r="AC11" s="2217"/>
      <c r="AD11" s="2217"/>
      <c r="AE11" s="2218"/>
      <c r="AF11" s="134"/>
      <c r="AG11" s="134"/>
      <c r="AH11" s="134"/>
      <c r="AI11" s="134"/>
      <c r="AJ11" s="135"/>
      <c r="AK11" s="792"/>
      <c r="AL11" s="787">
        <v>6</v>
      </c>
      <c r="AM11" s="790">
        <v>40078</v>
      </c>
      <c r="AN11" s="787">
        <v>1500</v>
      </c>
      <c r="AO11" s="787">
        <f t="shared" si="0"/>
        <v>1219.5</v>
      </c>
      <c r="AP11" s="787">
        <v>18.7</v>
      </c>
      <c r="AQ11" s="791">
        <v>18.399999999999999</v>
      </c>
      <c r="AR11" s="791">
        <v>17.5</v>
      </c>
      <c r="AS11" s="791">
        <v>20.7</v>
      </c>
      <c r="AT11" s="792"/>
    </row>
    <row r="12" spans="1:46" s="128" customFormat="1" ht="17.100000000000001" customHeight="1">
      <c r="A12" s="136"/>
      <c r="B12" s="137"/>
      <c r="C12" s="137"/>
      <c r="D12" s="137"/>
      <c r="E12" s="137"/>
      <c r="F12" s="2213" t="s">
        <v>78</v>
      </c>
      <c r="G12" s="2214"/>
      <c r="H12" s="2214"/>
      <c r="I12" s="2214"/>
      <c r="J12" s="2214"/>
      <c r="K12" s="2214"/>
      <c r="L12" s="2214"/>
      <c r="M12" s="2214"/>
      <c r="N12" s="2214"/>
      <c r="O12" s="2214"/>
      <c r="P12" s="2214"/>
      <c r="Q12" s="2214"/>
      <c r="R12" s="2214"/>
      <c r="S12" s="2214"/>
      <c r="T12" s="2214"/>
      <c r="U12" s="2214"/>
      <c r="V12" s="2226"/>
      <c r="W12" s="2226"/>
      <c r="X12" s="2227"/>
      <c r="Y12" s="2219"/>
      <c r="Z12" s="2219"/>
      <c r="AA12" s="2219"/>
      <c r="AB12" s="2219"/>
      <c r="AC12" s="2219"/>
      <c r="AD12" s="2219"/>
      <c r="AE12" s="2220"/>
      <c r="AF12" s="137"/>
      <c r="AG12" s="137"/>
      <c r="AH12" s="137"/>
      <c r="AI12" s="134"/>
      <c r="AJ12" s="135"/>
      <c r="AK12" s="786"/>
      <c r="AL12" s="787">
        <v>8</v>
      </c>
      <c r="AM12" s="790">
        <v>40079</v>
      </c>
      <c r="AN12" s="787">
        <v>1500</v>
      </c>
      <c r="AO12" s="787">
        <f t="shared" si="0"/>
        <v>1234.5</v>
      </c>
      <c r="AP12" s="787">
        <v>17.7</v>
      </c>
      <c r="AQ12" s="791">
        <v>18.399999999999999</v>
      </c>
      <c r="AR12" s="791">
        <v>17.5</v>
      </c>
      <c r="AS12" s="791">
        <v>20.7</v>
      </c>
      <c r="AT12" s="786"/>
    </row>
    <row r="13" spans="1:46" s="128" customFormat="1" ht="17.100000000000001" customHeight="1">
      <c r="A13" s="133"/>
      <c r="B13" s="137"/>
      <c r="C13" s="137"/>
      <c r="D13" s="137"/>
      <c r="E13" s="137"/>
      <c r="F13" s="2213" t="s">
        <v>491</v>
      </c>
      <c r="G13" s="2214"/>
      <c r="H13" s="2214"/>
      <c r="I13" s="2214"/>
      <c r="J13" s="2214"/>
      <c r="K13" s="2214"/>
      <c r="L13" s="2214"/>
      <c r="M13" s="2214"/>
      <c r="N13" s="2214"/>
      <c r="O13" s="2214"/>
      <c r="P13" s="2214"/>
      <c r="Q13" s="2214"/>
      <c r="R13" s="2214"/>
      <c r="S13" s="2214"/>
      <c r="T13" s="2214"/>
      <c r="U13" s="2214"/>
      <c r="V13" s="2228" t="s">
        <v>91</v>
      </c>
      <c r="W13" s="2228"/>
      <c r="X13" s="2229"/>
      <c r="Y13" s="2219"/>
      <c r="Z13" s="2219"/>
      <c r="AA13" s="2219"/>
      <c r="AB13" s="2219"/>
      <c r="AC13" s="2219"/>
      <c r="AD13" s="2219"/>
      <c r="AE13" s="2220"/>
      <c r="AF13" s="137"/>
      <c r="AG13" s="137"/>
      <c r="AH13" s="137"/>
      <c r="AI13" s="134"/>
      <c r="AJ13" s="135"/>
      <c r="AK13" s="786"/>
      <c r="AL13" s="787">
        <v>9</v>
      </c>
      <c r="AM13" s="790">
        <v>40079</v>
      </c>
      <c r="AN13" s="787">
        <v>1500</v>
      </c>
      <c r="AO13" s="793">
        <f t="shared" si="0"/>
        <v>1227</v>
      </c>
      <c r="AP13" s="787">
        <v>18.2</v>
      </c>
      <c r="AQ13" s="791">
        <v>18.399999999999999</v>
      </c>
      <c r="AR13" s="791">
        <v>17.5</v>
      </c>
      <c r="AS13" s="791">
        <v>20.7</v>
      </c>
      <c r="AT13" s="786"/>
    </row>
    <row r="14" spans="1:46" s="128" customFormat="1" ht="17.100000000000001" customHeight="1">
      <c r="A14" s="133"/>
      <c r="B14" s="137"/>
      <c r="C14" s="137"/>
      <c r="D14" s="137"/>
      <c r="E14" s="137"/>
      <c r="F14" s="2213" t="s">
        <v>492</v>
      </c>
      <c r="G14" s="2214"/>
      <c r="H14" s="2214"/>
      <c r="I14" s="2214"/>
      <c r="J14" s="2214"/>
      <c r="K14" s="2214"/>
      <c r="L14" s="2214"/>
      <c r="M14" s="2214"/>
      <c r="N14" s="2214"/>
      <c r="O14" s="2214"/>
      <c r="P14" s="2214"/>
      <c r="Q14" s="2214"/>
      <c r="R14" s="2214"/>
      <c r="S14" s="2214"/>
      <c r="T14" s="2214"/>
      <c r="U14" s="2214"/>
      <c r="V14" s="2228" t="s">
        <v>91</v>
      </c>
      <c r="W14" s="2228"/>
      <c r="X14" s="2229"/>
      <c r="Y14" s="2219"/>
      <c r="Z14" s="2219"/>
      <c r="AA14" s="2219"/>
      <c r="AB14" s="2219"/>
      <c r="AC14" s="2219"/>
      <c r="AD14" s="2219"/>
      <c r="AE14" s="2220"/>
      <c r="AF14" s="137"/>
      <c r="AG14" s="137"/>
      <c r="AH14" s="137"/>
      <c r="AI14" s="134"/>
      <c r="AJ14" s="135"/>
      <c r="AK14" s="786"/>
      <c r="AL14" s="787">
        <v>10</v>
      </c>
      <c r="AM14" s="790">
        <v>40080</v>
      </c>
      <c r="AN14" s="787">
        <v>1500</v>
      </c>
      <c r="AO14" s="793">
        <f t="shared" si="0"/>
        <v>1224</v>
      </c>
      <c r="AP14" s="787">
        <v>18.399999999999999</v>
      </c>
      <c r="AQ14" s="791">
        <v>18.399999999999999</v>
      </c>
      <c r="AR14" s="791">
        <v>17.5</v>
      </c>
      <c r="AS14" s="791">
        <v>20.7</v>
      </c>
      <c r="AT14" s="786"/>
    </row>
    <row r="15" spans="1:46" s="128" customFormat="1" ht="17.100000000000001" customHeight="1">
      <c r="A15" s="138"/>
      <c r="B15" s="139"/>
      <c r="C15" s="139"/>
      <c r="D15" s="139"/>
      <c r="E15" s="139"/>
      <c r="F15" s="2182" t="s">
        <v>370</v>
      </c>
      <c r="G15" s="2183"/>
      <c r="H15" s="2183"/>
      <c r="I15" s="2183"/>
      <c r="J15" s="2183"/>
      <c r="K15" s="2183"/>
      <c r="L15" s="2183"/>
      <c r="M15" s="2183"/>
      <c r="N15" s="2183"/>
      <c r="O15" s="2183"/>
      <c r="P15" s="2183"/>
      <c r="Q15" s="2183"/>
      <c r="R15" s="2183"/>
      <c r="S15" s="2183"/>
      <c r="T15" s="2183"/>
      <c r="U15" s="2183"/>
      <c r="V15" s="2230" t="s">
        <v>95</v>
      </c>
      <c r="W15" s="2230"/>
      <c r="X15" s="2231"/>
      <c r="Y15" s="2221" t="str">
        <f>+IF(Y13="","",((Y13-Y14)/Y13*100))</f>
        <v/>
      </c>
      <c r="Z15" s="2221"/>
      <c r="AA15" s="2221"/>
      <c r="AB15" s="2221"/>
      <c r="AC15" s="2221"/>
      <c r="AD15" s="2221"/>
      <c r="AE15" s="2222"/>
      <c r="AF15" s="139"/>
      <c r="AG15" s="139"/>
      <c r="AH15" s="139"/>
      <c r="AI15" s="140"/>
      <c r="AJ15" s="141"/>
      <c r="AK15" s="786"/>
      <c r="AL15" s="787">
        <v>11</v>
      </c>
      <c r="AM15" s="790">
        <v>40080</v>
      </c>
      <c r="AN15" s="787">
        <v>1500</v>
      </c>
      <c r="AO15" s="793">
        <f t="shared" si="0"/>
        <v>1233</v>
      </c>
      <c r="AP15" s="787">
        <v>17.8</v>
      </c>
      <c r="AQ15" s="791">
        <v>18.399999999999999</v>
      </c>
      <c r="AR15" s="791">
        <v>17.5</v>
      </c>
      <c r="AS15" s="791">
        <v>20.7</v>
      </c>
      <c r="AT15" s="786"/>
    </row>
    <row r="16" spans="1:46" s="129" customFormat="1" ht="7.5" customHeight="1">
      <c r="A16" s="142"/>
      <c r="B16" s="143"/>
      <c r="C16" s="143"/>
      <c r="D16" s="143"/>
      <c r="E16" s="134"/>
      <c r="F16" s="134"/>
      <c r="G16" s="134"/>
      <c r="H16" s="134"/>
      <c r="I16" s="14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5"/>
      <c r="AK16" s="792"/>
      <c r="AL16" s="787">
        <v>12</v>
      </c>
      <c r="AM16" s="790">
        <v>40080</v>
      </c>
      <c r="AN16" s="787">
        <v>1500</v>
      </c>
      <c r="AO16" s="793">
        <f t="shared" si="0"/>
        <v>1213.5</v>
      </c>
      <c r="AP16" s="787">
        <v>19.100000000000001</v>
      </c>
      <c r="AQ16" s="791">
        <v>18.399999999999999</v>
      </c>
      <c r="AR16" s="791">
        <v>17.5</v>
      </c>
      <c r="AS16" s="791">
        <v>20.7</v>
      </c>
      <c r="AT16" s="792"/>
    </row>
    <row r="17" spans="1:45" ht="12.75" customHeight="1">
      <c r="A17" s="142"/>
      <c r="B17" s="143"/>
      <c r="C17" s="143"/>
      <c r="D17" s="143"/>
      <c r="E17" s="134"/>
      <c r="AF17" s="134"/>
      <c r="AG17" s="134"/>
      <c r="AH17" s="134"/>
      <c r="AI17" s="134"/>
      <c r="AJ17" s="135"/>
      <c r="AL17" s="787">
        <v>14</v>
      </c>
      <c r="AM17" s="790">
        <v>41542</v>
      </c>
      <c r="AN17" s="787">
        <v>1500</v>
      </c>
      <c r="AO17" s="793">
        <f t="shared" si="0"/>
        <v>1210.5</v>
      </c>
      <c r="AP17" s="787">
        <v>19.3</v>
      </c>
      <c r="AQ17" s="791">
        <v>18.399999999999999</v>
      </c>
      <c r="AR17" s="791">
        <v>17.5</v>
      </c>
      <c r="AS17" s="791">
        <v>20.7</v>
      </c>
    </row>
    <row r="18" spans="1:45" ht="12.95" customHeight="1">
      <c r="A18" s="142"/>
      <c r="B18" s="143"/>
      <c r="C18" s="143"/>
      <c r="D18" s="143"/>
      <c r="E18" s="134"/>
      <c r="F18" s="2223" t="s">
        <v>493</v>
      </c>
      <c r="G18" s="2223"/>
      <c r="H18" s="2223"/>
      <c r="I18" s="2223"/>
      <c r="J18" s="2223"/>
      <c r="K18" s="2223"/>
      <c r="L18" s="2223"/>
      <c r="M18" s="2223"/>
      <c r="N18" s="2223"/>
      <c r="O18" s="2223"/>
      <c r="P18" s="2223"/>
      <c r="Q18" s="2223"/>
      <c r="R18" s="2223"/>
      <c r="S18" s="2223"/>
      <c r="T18" s="2223"/>
      <c r="U18" s="2223"/>
      <c r="V18" s="2223"/>
      <c r="W18" s="2223"/>
      <c r="X18" s="2223"/>
      <c r="Y18" s="2223"/>
      <c r="Z18" s="2223"/>
      <c r="AA18" s="2223"/>
      <c r="AB18" s="2223"/>
      <c r="AC18" s="2223"/>
      <c r="AD18" s="2223"/>
      <c r="AE18" s="2223"/>
      <c r="AF18" s="134"/>
      <c r="AG18" s="134"/>
      <c r="AH18" s="134"/>
      <c r="AI18" s="134"/>
      <c r="AJ18" s="135"/>
      <c r="AL18" s="787">
        <v>15</v>
      </c>
      <c r="AM18" s="790">
        <v>41542</v>
      </c>
      <c r="AN18" s="787">
        <v>1500</v>
      </c>
      <c r="AO18" s="793">
        <f t="shared" si="0"/>
        <v>1218</v>
      </c>
      <c r="AP18" s="793">
        <v>18.8</v>
      </c>
      <c r="AQ18" s="791">
        <v>18.399999999999999</v>
      </c>
      <c r="AR18" s="791">
        <v>17.5</v>
      </c>
      <c r="AS18" s="791">
        <v>20.7</v>
      </c>
    </row>
    <row r="19" spans="1:45" ht="12.95" customHeight="1">
      <c r="A19" s="142"/>
      <c r="B19" s="143"/>
      <c r="C19" s="143"/>
      <c r="D19" s="143"/>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5"/>
      <c r="AL19" s="787">
        <v>16</v>
      </c>
      <c r="AM19" s="790">
        <v>41543</v>
      </c>
      <c r="AN19" s="787">
        <v>1500</v>
      </c>
      <c r="AO19" s="793">
        <f t="shared" si="0"/>
        <v>1230</v>
      </c>
      <c r="AP19" s="793">
        <v>18</v>
      </c>
      <c r="AQ19" s="791">
        <v>18.399999999999999</v>
      </c>
      <c r="AR19" s="791">
        <v>17.5</v>
      </c>
      <c r="AS19" s="791">
        <v>20.7</v>
      </c>
    </row>
    <row r="20" spans="1:45" ht="12.95" customHeight="1">
      <c r="A20" s="142"/>
      <c r="B20" s="143"/>
      <c r="C20" s="143"/>
      <c r="D20" s="143"/>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5"/>
      <c r="AL20" s="787">
        <v>17</v>
      </c>
      <c r="AM20" s="790">
        <v>41543</v>
      </c>
      <c r="AN20" s="787">
        <v>1500</v>
      </c>
      <c r="AO20" s="793">
        <f t="shared" si="0"/>
        <v>1212</v>
      </c>
      <c r="AP20" s="793">
        <v>19.2</v>
      </c>
      <c r="AQ20" s="791">
        <v>18.399999999999999</v>
      </c>
      <c r="AR20" s="791">
        <v>17.5</v>
      </c>
      <c r="AS20" s="791">
        <v>20.7</v>
      </c>
    </row>
    <row r="21" spans="1:45" ht="13.5" customHeight="1">
      <c r="A21" s="142"/>
      <c r="B21" s="143"/>
      <c r="C21" s="143"/>
      <c r="D21" s="143"/>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5"/>
      <c r="AL21" s="787">
        <v>18</v>
      </c>
      <c r="AM21" s="790">
        <v>41544</v>
      </c>
      <c r="AN21" s="787">
        <v>1500</v>
      </c>
      <c r="AO21" s="793">
        <f t="shared" si="0"/>
        <v>1231.5</v>
      </c>
      <c r="AP21" s="793">
        <v>17.899999999999999</v>
      </c>
      <c r="AQ21" s="791">
        <v>18.399999999999999</v>
      </c>
      <c r="AR21" s="791">
        <v>17.5</v>
      </c>
      <c r="AS21" s="791">
        <v>20.7</v>
      </c>
    </row>
    <row r="22" spans="1:45" ht="12.95" customHeight="1">
      <c r="A22" s="142"/>
      <c r="B22" s="143"/>
      <c r="C22" s="143"/>
      <c r="D22" s="143"/>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5"/>
      <c r="AL22" s="787">
        <v>19</v>
      </c>
      <c r="AM22" s="790">
        <v>41544</v>
      </c>
      <c r="AN22" s="787">
        <v>1500</v>
      </c>
      <c r="AO22" s="793">
        <f t="shared" si="0"/>
        <v>1198.5</v>
      </c>
      <c r="AP22" s="793">
        <v>20.100000000000001</v>
      </c>
      <c r="AQ22" s="791">
        <v>18.399999999999999</v>
      </c>
      <c r="AR22" s="791">
        <v>17.5</v>
      </c>
      <c r="AS22" s="791">
        <v>20.7</v>
      </c>
    </row>
    <row r="23" spans="1:45" ht="12.95" customHeight="1">
      <c r="A23" s="142"/>
      <c r="B23" s="143"/>
      <c r="C23" s="143"/>
      <c r="D23" s="143"/>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5"/>
      <c r="AL23" s="787">
        <v>20</v>
      </c>
      <c r="AM23" s="790">
        <v>41544</v>
      </c>
      <c r="AN23" s="787">
        <v>1500</v>
      </c>
      <c r="AO23" s="793">
        <f t="shared" si="0"/>
        <v>1231.5</v>
      </c>
      <c r="AP23" s="793">
        <v>17.899999999999999</v>
      </c>
      <c r="AQ23" s="791">
        <v>18.399999999999999</v>
      </c>
      <c r="AR23" s="791">
        <v>17.5</v>
      </c>
      <c r="AS23" s="791">
        <v>20.7</v>
      </c>
    </row>
    <row r="24" spans="1:45" ht="12.95" customHeight="1">
      <c r="A24" s="145"/>
      <c r="B24" s="143"/>
      <c r="C24" s="143"/>
      <c r="D24" s="143"/>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5"/>
      <c r="AL24" s="787"/>
      <c r="AM24" s="790"/>
      <c r="AN24" s="787"/>
      <c r="AO24" s="793"/>
      <c r="AP24" s="793"/>
      <c r="AQ24" s="791"/>
      <c r="AR24" s="791"/>
      <c r="AS24" s="791"/>
    </row>
    <row r="25" spans="1:45" ht="12.95" customHeight="1">
      <c r="A25" s="136"/>
      <c r="B25" s="134"/>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5"/>
    </row>
    <row r="26" spans="1:45" ht="12.95" customHeight="1">
      <c r="A26" s="136"/>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5"/>
      <c r="AL26" s="784" t="s">
        <v>74</v>
      </c>
      <c r="AP26" s="794">
        <f>AVERAGE(AP6:AP24)</f>
        <v>18.488888888888891</v>
      </c>
    </row>
    <row r="27" spans="1:45" ht="12.95" customHeight="1">
      <c r="A27" s="136"/>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2216"/>
      <c r="AH27" s="2216"/>
      <c r="AI27" s="134"/>
      <c r="AJ27" s="135"/>
      <c r="AL27" s="786" t="s">
        <v>79</v>
      </c>
      <c r="AP27" s="795">
        <v>19.100000000000001</v>
      </c>
    </row>
    <row r="28" spans="1:45" ht="12.95" customHeight="1">
      <c r="A28" s="136"/>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2188"/>
      <c r="AH28" s="2188"/>
      <c r="AI28" s="134"/>
      <c r="AJ28" s="135"/>
      <c r="AL28" s="786"/>
      <c r="AP28" s="796"/>
    </row>
    <row r="29" spans="1:45" ht="12" customHeight="1">
      <c r="A29" s="136"/>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2188"/>
      <c r="AH29" s="2188"/>
      <c r="AI29" s="134"/>
      <c r="AJ29" s="135"/>
      <c r="AL29" s="784">
        <v>20</v>
      </c>
      <c r="AM29" s="784">
        <v>100</v>
      </c>
    </row>
    <row r="30" spans="1:45" ht="12.95" customHeight="1">
      <c r="A30" s="136"/>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5"/>
      <c r="AL30" s="784">
        <f>+AL29*AM30/AM29</f>
        <v>19</v>
      </c>
      <c r="AM30" s="784">
        <v>95</v>
      </c>
    </row>
    <row r="31" spans="1:45" ht="12.95" customHeight="1">
      <c r="A31" s="136"/>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5"/>
      <c r="AL31" s="797" t="s">
        <v>80</v>
      </c>
    </row>
    <row r="32" spans="1:45" ht="12.95" customHeight="1">
      <c r="A32" s="136"/>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5"/>
    </row>
    <row r="33" spans="1:46" ht="12.95" customHeight="1">
      <c r="A33" s="136"/>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5"/>
    </row>
    <row r="34" spans="1:46" ht="12.95" customHeight="1">
      <c r="A34" s="136"/>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5"/>
    </row>
    <row r="35" spans="1:46" ht="21" customHeight="1">
      <c r="A35" s="136"/>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5"/>
      <c r="AL35" s="784" t="s">
        <v>81</v>
      </c>
      <c r="AM35" s="784" t="s">
        <v>82</v>
      </c>
    </row>
    <row r="36" spans="1:46" ht="18" customHeight="1">
      <c r="A36" s="136"/>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5"/>
      <c r="AL36" s="784" t="s">
        <v>83</v>
      </c>
      <c r="AM36" s="784" t="s">
        <v>84</v>
      </c>
    </row>
    <row r="37" spans="1:46" ht="18" customHeight="1">
      <c r="A37" s="136"/>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5"/>
      <c r="AL37" s="784" t="s">
        <v>85</v>
      </c>
      <c r="AM37" s="784" t="s">
        <v>86</v>
      </c>
    </row>
    <row r="38" spans="1:46" ht="16.5" customHeight="1">
      <c r="A38" s="136"/>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5"/>
    </row>
    <row r="39" spans="1:46" ht="18.75" customHeight="1">
      <c r="A39" s="146"/>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8"/>
    </row>
    <row r="40" spans="1:46" ht="25.5" customHeight="1">
      <c r="A40" s="2203" t="s">
        <v>20</v>
      </c>
      <c r="B40" s="2204"/>
      <c r="C40" s="2204"/>
      <c r="D40" s="2204"/>
      <c r="E40" s="2204"/>
      <c r="F40" s="2204"/>
      <c r="G40" s="869"/>
      <c r="H40" s="2205"/>
      <c r="I40" s="2205"/>
      <c r="J40" s="2205"/>
      <c r="K40" s="2205"/>
      <c r="L40" s="2205"/>
      <c r="M40" s="2205"/>
      <c r="N40" s="2205"/>
      <c r="O40" s="2205"/>
      <c r="P40" s="2205"/>
      <c r="Q40" s="2205"/>
      <c r="R40" s="2205"/>
      <c r="S40" s="2205"/>
      <c r="T40" s="2205"/>
      <c r="U40" s="2205"/>
      <c r="V40" s="2205"/>
      <c r="W40" s="2205"/>
      <c r="X40" s="2205"/>
      <c r="Y40" s="2205"/>
      <c r="Z40" s="2205"/>
      <c r="AA40" s="2205"/>
      <c r="AB40" s="2205"/>
      <c r="AC40" s="2205"/>
      <c r="AD40" s="2205"/>
      <c r="AE40" s="2205"/>
      <c r="AF40" s="2205"/>
      <c r="AG40" s="2205"/>
      <c r="AH40" s="2205"/>
      <c r="AI40" s="2205"/>
      <c r="AJ40" s="2206"/>
    </row>
    <row r="41" spans="1:46" ht="25.5" customHeight="1">
      <c r="A41" s="2189"/>
      <c r="B41" s="2190"/>
      <c r="C41" s="2190"/>
      <c r="D41" s="2190"/>
      <c r="E41" s="2190"/>
      <c r="F41" s="2190"/>
      <c r="G41" s="2190"/>
      <c r="H41" s="2190"/>
      <c r="I41" s="2190"/>
      <c r="J41" s="2190"/>
      <c r="K41" s="2190"/>
      <c r="L41" s="2190"/>
      <c r="M41" s="2190"/>
      <c r="N41" s="2190"/>
      <c r="O41" s="2190"/>
      <c r="P41" s="2190"/>
      <c r="Q41" s="2190"/>
      <c r="R41" s="2190"/>
      <c r="S41" s="2190"/>
      <c r="T41" s="2190"/>
      <c r="U41" s="2190"/>
      <c r="V41" s="2190"/>
      <c r="W41" s="2190"/>
      <c r="X41" s="2190"/>
      <c r="Y41" s="2190"/>
      <c r="Z41" s="2190"/>
      <c r="AA41" s="2190"/>
      <c r="AB41" s="2190"/>
      <c r="AC41" s="2190"/>
      <c r="AD41" s="2190"/>
      <c r="AE41" s="2190"/>
      <c r="AF41" s="2190"/>
      <c r="AG41" s="2190"/>
      <c r="AH41" s="2190"/>
      <c r="AI41" s="2190"/>
      <c r="AJ41" s="2191"/>
    </row>
    <row r="42" spans="1:46" s="89" customFormat="1" ht="14.1" customHeight="1">
      <c r="A42" s="2192"/>
      <c r="B42" s="2193"/>
      <c r="C42" s="2193"/>
      <c r="D42" s="2193"/>
      <c r="E42" s="2193"/>
      <c r="F42" s="2193"/>
      <c r="G42" s="2193"/>
      <c r="H42" s="2193"/>
      <c r="I42" s="2195" t="s">
        <v>10</v>
      </c>
      <c r="J42" s="1742"/>
      <c r="K42" s="1742"/>
      <c r="L42" s="1742"/>
      <c r="M42" s="1742"/>
      <c r="N42" s="1742"/>
      <c r="O42" s="1742"/>
      <c r="P42" s="1742"/>
      <c r="Q42" s="2196"/>
      <c r="R42" s="2195" t="s">
        <v>22</v>
      </c>
      <c r="S42" s="1742"/>
      <c r="T42" s="1742"/>
      <c r="U42" s="1742"/>
      <c r="V42" s="1742"/>
      <c r="W42" s="1742"/>
      <c r="X42" s="1742"/>
      <c r="Y42" s="1742"/>
      <c r="Z42" s="1742"/>
      <c r="AA42" s="1742"/>
      <c r="AB42" s="2196"/>
      <c r="AC42" s="1742" t="s">
        <v>23</v>
      </c>
      <c r="AD42" s="1742"/>
      <c r="AE42" s="1742"/>
      <c r="AF42" s="1742"/>
      <c r="AG42" s="1742"/>
      <c r="AH42" s="1742"/>
      <c r="AI42" s="1742"/>
      <c r="AJ42" s="1743"/>
      <c r="AK42" s="615"/>
      <c r="AL42" s="615"/>
      <c r="AM42" s="615"/>
      <c r="AN42" s="615"/>
      <c r="AO42" s="615"/>
      <c r="AP42" s="615"/>
      <c r="AQ42" s="615"/>
      <c r="AR42" s="615"/>
      <c r="AS42" s="615"/>
      <c r="AT42" s="615"/>
    </row>
    <row r="43" spans="1:46" s="84" customFormat="1" ht="39.950000000000003" customHeight="1">
      <c r="A43" s="2194" t="s">
        <v>13</v>
      </c>
      <c r="B43" s="2074"/>
      <c r="C43" s="2074"/>
      <c r="D43" s="2074"/>
      <c r="E43" s="2074"/>
      <c r="F43" s="2074"/>
      <c r="G43" s="2074"/>
      <c r="H43" s="2074"/>
      <c r="I43" s="2197"/>
      <c r="J43" s="2198"/>
      <c r="K43" s="2198"/>
      <c r="L43" s="2198"/>
      <c r="M43" s="2198"/>
      <c r="N43" s="2198"/>
      <c r="O43" s="2198"/>
      <c r="P43" s="2198"/>
      <c r="Q43" s="2199"/>
      <c r="R43" s="2197"/>
      <c r="S43" s="2198"/>
      <c r="T43" s="2198"/>
      <c r="U43" s="2198"/>
      <c r="V43" s="2198"/>
      <c r="W43" s="2198"/>
      <c r="X43" s="2198"/>
      <c r="Y43" s="2198"/>
      <c r="Z43" s="2198"/>
      <c r="AA43" s="2198"/>
      <c r="AB43" s="2199"/>
      <c r="AC43" s="2184"/>
      <c r="AD43" s="2184"/>
      <c r="AE43" s="2184"/>
      <c r="AF43" s="2184"/>
      <c r="AG43" s="2184"/>
      <c r="AH43" s="2184"/>
      <c r="AI43" s="2184"/>
      <c r="AJ43" s="2185"/>
      <c r="AK43" s="798"/>
      <c r="AL43" s="798"/>
      <c r="AM43" s="798"/>
      <c r="AN43" s="798"/>
      <c r="AO43" s="798"/>
      <c r="AP43" s="798"/>
      <c r="AQ43" s="798"/>
      <c r="AR43" s="798"/>
      <c r="AS43" s="798"/>
      <c r="AT43" s="798"/>
    </row>
    <row r="44" spans="1:46" s="84" customFormat="1" ht="14.1" customHeight="1">
      <c r="A44" s="2194" t="s">
        <v>610</v>
      </c>
      <c r="B44" s="2074"/>
      <c r="C44" s="2074"/>
      <c r="D44" s="2074"/>
      <c r="E44" s="2074"/>
      <c r="F44" s="2074"/>
      <c r="G44" s="2074"/>
      <c r="H44" s="2074"/>
      <c r="I44" s="1865" t="s">
        <v>560</v>
      </c>
      <c r="J44" s="1866"/>
      <c r="K44" s="1866"/>
      <c r="L44" s="1866"/>
      <c r="M44" s="1866"/>
      <c r="N44" s="1866"/>
      <c r="O44" s="1866"/>
      <c r="P44" s="1866"/>
      <c r="Q44" s="1867"/>
      <c r="R44" s="1865" t="s">
        <v>560</v>
      </c>
      <c r="S44" s="1866"/>
      <c r="T44" s="1866"/>
      <c r="U44" s="1866"/>
      <c r="V44" s="1866"/>
      <c r="W44" s="1866"/>
      <c r="X44" s="1866"/>
      <c r="Y44" s="1866"/>
      <c r="Z44" s="1866"/>
      <c r="AA44" s="1866"/>
      <c r="AB44" s="1867"/>
      <c r="AC44" s="2186" t="s">
        <v>560</v>
      </c>
      <c r="AD44" s="2186"/>
      <c r="AE44" s="2186"/>
      <c r="AF44" s="2186"/>
      <c r="AG44" s="2186"/>
      <c r="AH44" s="2186"/>
      <c r="AI44" s="2186"/>
      <c r="AJ44" s="2187"/>
      <c r="AK44" s="798"/>
      <c r="AL44" s="798"/>
      <c r="AM44" s="798"/>
      <c r="AN44" s="798"/>
      <c r="AO44" s="798"/>
      <c r="AP44" s="798"/>
      <c r="AQ44" s="798"/>
      <c r="AR44" s="798"/>
      <c r="AS44" s="798"/>
      <c r="AT44" s="798"/>
    </row>
    <row r="45" spans="1:46" s="84" customFormat="1" ht="14.1" customHeight="1" thickBot="1">
      <c r="A45" s="2209" t="s">
        <v>14</v>
      </c>
      <c r="B45" s="2210"/>
      <c r="C45" s="2210"/>
      <c r="D45" s="2210"/>
      <c r="E45" s="2210"/>
      <c r="F45" s="2210"/>
      <c r="G45" s="2210"/>
      <c r="H45" s="2210"/>
      <c r="I45" s="2200" t="str">
        <f>IF(I44="--","",VLOOKUP(I44,firmas!A2:B31,2,0))</f>
        <v/>
      </c>
      <c r="J45" s="2201"/>
      <c r="K45" s="2201"/>
      <c r="L45" s="2201"/>
      <c r="M45" s="2201"/>
      <c r="N45" s="2201"/>
      <c r="O45" s="2201"/>
      <c r="P45" s="2201"/>
      <c r="Q45" s="2202"/>
      <c r="R45" s="2200" t="str">
        <f>IF(R44="--","",VLOOKUP(R44,firmas!A33:B35,2,0))</f>
        <v/>
      </c>
      <c r="S45" s="2201"/>
      <c r="T45" s="2201"/>
      <c r="U45" s="2201"/>
      <c r="V45" s="2201"/>
      <c r="W45" s="2201"/>
      <c r="X45" s="2201"/>
      <c r="Y45" s="2201"/>
      <c r="Z45" s="2201"/>
      <c r="AA45" s="2201"/>
      <c r="AB45" s="2202"/>
      <c r="AC45" s="2211" t="str">
        <f>IF(AC44="--","",VLOOKUP(AC44,firmas!A37:B38,2))</f>
        <v/>
      </c>
      <c r="AD45" s="2211"/>
      <c r="AE45" s="2211"/>
      <c r="AF45" s="2211"/>
      <c r="AG45" s="2211"/>
      <c r="AH45" s="2211"/>
      <c r="AI45" s="2211"/>
      <c r="AJ45" s="2212"/>
      <c r="AK45" s="798"/>
      <c r="AL45" s="798"/>
      <c r="AM45" s="798"/>
      <c r="AN45" s="798"/>
      <c r="AO45" s="798"/>
      <c r="AP45" s="798"/>
      <c r="AQ45" s="798"/>
      <c r="AR45" s="798"/>
      <c r="AS45" s="798"/>
      <c r="AT45" s="798"/>
    </row>
    <row r="46" spans="1:46" s="84" customFormat="1" ht="12" customHeight="1" thickTop="1" thickBot="1">
      <c r="A46" s="2207" t="s">
        <v>24</v>
      </c>
      <c r="B46" s="2207"/>
      <c r="C46" s="2207"/>
      <c r="D46" s="2207"/>
      <c r="E46" s="2207"/>
      <c r="F46" s="2207"/>
      <c r="G46" s="2207"/>
      <c r="H46" s="2207"/>
      <c r="I46" s="2207"/>
      <c r="J46" s="2207"/>
      <c r="K46" s="2207"/>
      <c r="L46" s="2207"/>
      <c r="M46" s="2207"/>
      <c r="N46" s="2207"/>
      <c r="O46" s="2207"/>
      <c r="P46" s="2207"/>
      <c r="Q46" s="2207"/>
      <c r="R46" s="2207"/>
      <c r="S46" s="2207"/>
      <c r="T46" s="2207"/>
      <c r="U46" s="2207"/>
      <c r="V46" s="2207"/>
      <c r="W46" s="2207"/>
      <c r="X46" s="2207"/>
      <c r="Y46" s="2207"/>
      <c r="Z46" s="2207"/>
      <c r="AA46" s="2207"/>
      <c r="AB46" s="2207"/>
      <c r="AC46" s="2207"/>
      <c r="AD46" s="2207"/>
      <c r="AE46" s="2207"/>
      <c r="AF46" s="2207"/>
      <c r="AG46" s="2207"/>
      <c r="AH46" s="2207"/>
      <c r="AI46" s="2207"/>
      <c r="AJ46" s="2207"/>
      <c r="AK46" s="798"/>
      <c r="AL46" s="798"/>
      <c r="AM46" s="798"/>
      <c r="AN46" s="798"/>
      <c r="AO46" s="798"/>
      <c r="AP46" s="798"/>
      <c r="AQ46" s="798"/>
      <c r="AR46" s="798"/>
      <c r="AS46" s="798"/>
      <c r="AT46" s="798"/>
    </row>
    <row r="47" spans="1:46" s="84" customFormat="1" ht="18" customHeight="1" thickTop="1">
      <c r="A47" s="2208" t="s">
        <v>25</v>
      </c>
      <c r="B47" s="2208"/>
      <c r="C47" s="2208"/>
      <c r="D47" s="2208"/>
      <c r="E47" s="2208"/>
      <c r="F47" s="2208"/>
      <c r="G47" s="2208"/>
      <c r="H47" s="2208"/>
      <c r="I47" s="2208"/>
      <c r="J47" s="2208"/>
      <c r="K47" s="2208"/>
      <c r="L47" s="2208"/>
      <c r="M47" s="2208"/>
      <c r="N47" s="2208"/>
      <c r="O47" s="2208"/>
      <c r="P47" s="2208"/>
      <c r="Q47" s="2208"/>
      <c r="R47" s="2208"/>
      <c r="S47" s="2208"/>
      <c r="T47" s="2208"/>
      <c r="U47" s="2208"/>
      <c r="V47" s="2208"/>
      <c r="W47" s="2208"/>
      <c r="X47" s="2208"/>
      <c r="Y47" s="2208"/>
      <c r="Z47" s="2208"/>
      <c r="AA47" s="2208"/>
      <c r="AB47" s="2208"/>
      <c r="AC47" s="2208"/>
      <c r="AD47" s="2208"/>
      <c r="AE47" s="2208"/>
      <c r="AF47" s="2208"/>
      <c r="AG47" s="2208"/>
      <c r="AH47" s="2208"/>
      <c r="AI47" s="2208"/>
      <c r="AJ47" s="2208"/>
      <c r="AK47" s="798"/>
      <c r="AL47" s="798"/>
      <c r="AM47" s="798"/>
      <c r="AN47" s="798"/>
      <c r="AO47" s="798"/>
      <c r="AP47" s="798"/>
      <c r="AQ47" s="798"/>
      <c r="AR47" s="798"/>
      <c r="AS47" s="798"/>
      <c r="AT47" s="798"/>
    </row>
    <row r="48" spans="1:46" s="91" customFormat="1" ht="27.95" customHeight="1">
      <c r="A48" s="1783" t="s">
        <v>16</v>
      </c>
      <c r="B48" s="1783"/>
      <c r="C48" s="1783"/>
      <c r="D48" s="1783"/>
      <c r="E48" s="1783"/>
      <c r="F48" s="1783"/>
      <c r="G48" s="1783"/>
      <c r="H48" s="1783"/>
      <c r="I48" s="1783"/>
      <c r="J48" s="1783"/>
      <c r="K48" s="1783"/>
      <c r="L48" s="1783"/>
      <c r="M48" s="1783"/>
      <c r="N48" s="1783"/>
      <c r="O48" s="1783"/>
      <c r="P48" s="1783"/>
      <c r="Q48" s="1783"/>
      <c r="R48" s="1783"/>
      <c r="S48" s="1783"/>
      <c r="T48" s="1783"/>
      <c r="U48" s="1783"/>
      <c r="V48" s="1783"/>
      <c r="W48" s="1783"/>
      <c r="X48" s="1783"/>
      <c r="Y48" s="1783"/>
      <c r="Z48" s="1783"/>
      <c r="AA48" s="1783"/>
      <c r="AB48" s="1783"/>
      <c r="AC48" s="1783"/>
      <c r="AD48" s="1783"/>
      <c r="AE48" s="1783"/>
      <c r="AF48" s="1783"/>
      <c r="AG48" s="1783"/>
      <c r="AH48" s="1783"/>
      <c r="AI48" s="1783"/>
      <c r="AJ48" s="1783"/>
      <c r="AK48" s="799"/>
      <c r="AL48" s="799"/>
      <c r="AM48" s="799"/>
      <c r="AN48" s="799"/>
      <c r="AO48" s="799"/>
      <c r="AP48" s="799"/>
      <c r="AQ48" s="799"/>
      <c r="AR48" s="799"/>
      <c r="AS48" s="799"/>
      <c r="AT48" s="799"/>
    </row>
    <row r="49" spans="1:46" s="84" customFormat="1" ht="28.5" customHeight="1">
      <c r="A49" s="127"/>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798"/>
      <c r="AL49" s="798"/>
      <c r="AM49" s="798"/>
      <c r="AN49" s="798"/>
      <c r="AO49" s="798"/>
      <c r="AP49" s="798"/>
      <c r="AQ49" s="798"/>
      <c r="AR49" s="798"/>
      <c r="AS49" s="798"/>
      <c r="AT49" s="798"/>
    </row>
    <row r="50" spans="1:46" s="84" customFormat="1" ht="30" customHeight="1">
      <c r="A50" s="127"/>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798"/>
      <c r="AL50" s="798"/>
      <c r="AM50" s="798"/>
      <c r="AN50" s="798"/>
      <c r="AO50" s="798"/>
      <c r="AP50" s="798"/>
      <c r="AQ50" s="798"/>
      <c r="AR50" s="798"/>
      <c r="AS50" s="798"/>
      <c r="AT50" s="798"/>
    </row>
  </sheetData>
  <sheetProtection algorithmName="SHA-512" hashValue="kZVq5VH7TezOv6TW8OjfIi+0diW+LStA1znqxO5q1mtxaom/OXGoLbKRXR7CDURzRUQIN7kx3rX9u7Yie/vBww==" saltValue="2DPcHzusyLkK0l2R+NfAsQ==" spinCount="100000" sheet="1" formatCells="0" formatColumns="0" formatRows="0"/>
  <mergeCells count="69">
    <mergeCell ref="A2:G5"/>
    <mergeCell ref="H5:AJ5"/>
    <mergeCell ref="F13:U13"/>
    <mergeCell ref="AE9:AJ9"/>
    <mergeCell ref="A7:D7"/>
    <mergeCell ref="A8:D8"/>
    <mergeCell ref="A9:D9"/>
    <mergeCell ref="E7:K7"/>
    <mergeCell ref="E8:K8"/>
    <mergeCell ref="E9:X9"/>
    <mergeCell ref="P8:X8"/>
    <mergeCell ref="Y9:AD9"/>
    <mergeCell ref="L8:O8"/>
    <mergeCell ref="Y7:AD7"/>
    <mergeCell ref="F11:U11"/>
    <mergeCell ref="F12:U12"/>
    <mergeCell ref="AE8:AJ8"/>
    <mergeCell ref="AE6:AJ6"/>
    <mergeCell ref="Y6:AD6"/>
    <mergeCell ref="AE7:AJ7"/>
    <mergeCell ref="A6:D6"/>
    <mergeCell ref="L7:O7"/>
    <mergeCell ref="P7:X7"/>
    <mergeCell ref="E6:X6"/>
    <mergeCell ref="AL1:AP1"/>
    <mergeCell ref="H2:AJ2"/>
    <mergeCell ref="H3:AJ3"/>
    <mergeCell ref="H4:V4"/>
    <mergeCell ref="W4:AJ4"/>
    <mergeCell ref="H1:AI1"/>
    <mergeCell ref="F14:U14"/>
    <mergeCell ref="Y8:AD8"/>
    <mergeCell ref="AC42:AJ42"/>
    <mergeCell ref="I42:Q42"/>
    <mergeCell ref="AG27:AH27"/>
    <mergeCell ref="Y11:AE11"/>
    <mergeCell ref="Y12:AE12"/>
    <mergeCell ref="Y13:AE13"/>
    <mergeCell ref="Y14:AE14"/>
    <mergeCell ref="Y15:AE15"/>
    <mergeCell ref="F18:AE18"/>
    <mergeCell ref="V11:X11"/>
    <mergeCell ref="V12:X12"/>
    <mergeCell ref="V13:X13"/>
    <mergeCell ref="V14:X14"/>
    <mergeCell ref="V15:X15"/>
    <mergeCell ref="R45:AB45"/>
    <mergeCell ref="A40:F40"/>
    <mergeCell ref="H40:AJ40"/>
    <mergeCell ref="A48:AJ48"/>
    <mergeCell ref="A46:AJ46"/>
    <mergeCell ref="A47:AJ47"/>
    <mergeCell ref="I43:Q43"/>
    <mergeCell ref="I44:Q44"/>
    <mergeCell ref="I45:Q45"/>
    <mergeCell ref="A45:H45"/>
    <mergeCell ref="AC45:AJ45"/>
    <mergeCell ref="F15:U15"/>
    <mergeCell ref="AC43:AJ43"/>
    <mergeCell ref="AC44:AJ44"/>
    <mergeCell ref="AG28:AH28"/>
    <mergeCell ref="AG29:AH29"/>
    <mergeCell ref="A41:AJ41"/>
    <mergeCell ref="A42:H42"/>
    <mergeCell ref="A43:H43"/>
    <mergeCell ref="A44:H44"/>
    <mergeCell ref="R42:AB42"/>
    <mergeCell ref="R43:AB43"/>
    <mergeCell ref="R44:AB44"/>
  </mergeCells>
  <printOptions horizontalCentered="1"/>
  <pageMargins left="0.59055118110236227" right="0.19685039370078741" top="0" bottom="0" header="0" footer="0.59055118110236227"/>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www.umv.gov.co111311&amp;C&amp;6PRO-FM-023
Página 1 de 1</oddFooter>
  </headerFooter>
  <ignoredErrors>
    <ignoredError sqref="M7:O7"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AC44:AJ44</xm:sqref>
        </x14:dataValidation>
        <x14:dataValidation type="list" allowBlank="1" showInputMessage="1" showErrorMessage="1">
          <x14:formula1>
            <xm:f>firmas!$A$2:$A$31</xm:f>
          </x14:formula1>
          <xm:sqref>I44:Q44</xm:sqref>
        </x14:dataValidation>
        <x14:dataValidation type="list" allowBlank="1" showInputMessage="1" showErrorMessage="1">
          <x14:formula1>
            <xm:f>firmas!$A$33:$A$35</xm:f>
          </x14:formula1>
          <xm:sqref>R44:AB44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GL27"/>
  <sheetViews>
    <sheetView showGridLines="0" view="pageBreakPreview" topLeftCell="A16" zoomScaleNormal="120" zoomScaleSheetLayoutView="100" zoomScalePageLayoutView="70" workbookViewId="0">
      <selection activeCell="F48" sqref="C48:G48"/>
    </sheetView>
  </sheetViews>
  <sheetFormatPr baseColWidth="10" defaultRowHeight="12.75"/>
  <cols>
    <col min="1" max="1" width="11.42578125" style="150" customWidth="1"/>
    <col min="2" max="2" width="4.7109375" style="150" customWidth="1"/>
    <col min="3" max="3" width="6" style="150" customWidth="1"/>
    <col min="4" max="4" width="11.5703125" style="150" customWidth="1"/>
    <col min="5" max="5" width="12.28515625" style="150" customWidth="1"/>
    <col min="6" max="6" width="7.42578125" style="150" customWidth="1"/>
    <col min="7" max="7" width="4.85546875" style="150" customWidth="1"/>
    <col min="8" max="8" width="12.7109375" style="150" customWidth="1"/>
    <col min="9" max="9" width="6.7109375" style="150" customWidth="1"/>
    <col min="10" max="11" width="9.7109375" style="150" customWidth="1"/>
    <col min="12" max="194" width="11.42578125" style="150"/>
    <col min="195" max="195" width="1.85546875" style="150" customWidth="1"/>
    <col min="196" max="196" width="13.5703125" style="150" customWidth="1"/>
    <col min="197" max="197" width="10.140625" style="150" customWidth="1"/>
    <col min="198" max="202" width="9.7109375" style="150" customWidth="1"/>
    <col min="203" max="203" width="10.42578125" style="150" customWidth="1"/>
    <col min="204" max="204" width="10.140625" style="150" customWidth="1"/>
    <col min="205" max="205" width="1.140625" style="150" customWidth="1"/>
    <col min="206" max="206" width="18.7109375" style="150" customWidth="1"/>
    <col min="207" max="207" width="20.140625" style="150" customWidth="1"/>
    <col min="208" max="450" width="11.42578125" style="150"/>
    <col min="451" max="451" width="1.85546875" style="150" customWidth="1"/>
    <col min="452" max="452" width="13.5703125" style="150" customWidth="1"/>
    <col min="453" max="453" width="10.140625" style="150" customWidth="1"/>
    <col min="454" max="458" width="9.7109375" style="150" customWidth="1"/>
    <col min="459" max="459" width="10.42578125" style="150" customWidth="1"/>
    <col min="460" max="460" width="10.140625" style="150" customWidth="1"/>
    <col min="461" max="461" width="1.140625" style="150" customWidth="1"/>
    <col min="462" max="462" width="18.7109375" style="150" customWidth="1"/>
    <col min="463" max="463" width="20.140625" style="150" customWidth="1"/>
    <col min="464" max="706" width="11.42578125" style="150"/>
    <col min="707" max="707" width="1.85546875" style="150" customWidth="1"/>
    <col min="708" max="708" width="13.5703125" style="150" customWidth="1"/>
    <col min="709" max="709" width="10.140625" style="150" customWidth="1"/>
    <col min="710" max="714" width="9.7109375" style="150" customWidth="1"/>
    <col min="715" max="715" width="10.42578125" style="150" customWidth="1"/>
    <col min="716" max="716" width="10.140625" style="150" customWidth="1"/>
    <col min="717" max="717" width="1.140625" style="150" customWidth="1"/>
    <col min="718" max="718" width="18.7109375" style="150" customWidth="1"/>
    <col min="719" max="719" width="20.140625" style="150" customWidth="1"/>
    <col min="720" max="962" width="11.42578125" style="150"/>
    <col min="963" max="963" width="1.85546875" style="150" customWidth="1"/>
    <col min="964" max="964" width="13.5703125" style="150" customWidth="1"/>
    <col min="965" max="965" width="10.140625" style="150" customWidth="1"/>
    <col min="966" max="970" width="9.7109375" style="150" customWidth="1"/>
    <col min="971" max="971" width="10.42578125" style="150" customWidth="1"/>
    <col min="972" max="972" width="10.140625" style="150" customWidth="1"/>
    <col min="973" max="973" width="1.140625" style="150" customWidth="1"/>
    <col min="974" max="974" width="18.7109375" style="150" customWidth="1"/>
    <col min="975" max="975" width="20.140625" style="150" customWidth="1"/>
    <col min="976" max="1218" width="11.42578125" style="150"/>
    <col min="1219" max="1219" width="1.85546875" style="150" customWidth="1"/>
    <col min="1220" max="1220" width="13.5703125" style="150" customWidth="1"/>
    <col min="1221" max="1221" width="10.140625" style="150" customWidth="1"/>
    <col min="1222" max="1226" width="9.7109375" style="150" customWidth="1"/>
    <col min="1227" max="1227" width="10.42578125" style="150" customWidth="1"/>
    <col min="1228" max="1228" width="10.140625" style="150" customWidth="1"/>
    <col min="1229" max="1229" width="1.140625" style="150" customWidth="1"/>
    <col min="1230" max="1230" width="18.7109375" style="150" customWidth="1"/>
    <col min="1231" max="1231" width="20.140625" style="150" customWidth="1"/>
    <col min="1232" max="1474" width="11.42578125" style="150"/>
    <col min="1475" max="1475" width="1.85546875" style="150" customWidth="1"/>
    <col min="1476" max="1476" width="13.5703125" style="150" customWidth="1"/>
    <col min="1477" max="1477" width="10.140625" style="150" customWidth="1"/>
    <col min="1478" max="1482" width="9.7109375" style="150" customWidth="1"/>
    <col min="1483" max="1483" width="10.42578125" style="150" customWidth="1"/>
    <col min="1484" max="1484" width="10.140625" style="150" customWidth="1"/>
    <col min="1485" max="1485" width="1.140625" style="150" customWidth="1"/>
    <col min="1486" max="1486" width="18.7109375" style="150" customWidth="1"/>
    <col min="1487" max="1487" width="20.140625" style="150" customWidth="1"/>
    <col min="1488" max="1730" width="11.42578125" style="150"/>
    <col min="1731" max="1731" width="1.85546875" style="150" customWidth="1"/>
    <col min="1732" max="1732" width="13.5703125" style="150" customWidth="1"/>
    <col min="1733" max="1733" width="10.140625" style="150" customWidth="1"/>
    <col min="1734" max="1738" width="9.7109375" style="150" customWidth="1"/>
    <col min="1739" max="1739" width="10.42578125" style="150" customWidth="1"/>
    <col min="1740" max="1740" width="10.140625" style="150" customWidth="1"/>
    <col min="1741" max="1741" width="1.140625" style="150" customWidth="1"/>
    <col min="1742" max="1742" width="18.7109375" style="150" customWidth="1"/>
    <col min="1743" max="1743" width="20.140625" style="150" customWidth="1"/>
    <col min="1744" max="1986" width="11.42578125" style="150"/>
    <col min="1987" max="1987" width="1.85546875" style="150" customWidth="1"/>
    <col min="1988" max="1988" width="13.5703125" style="150" customWidth="1"/>
    <col min="1989" max="1989" width="10.140625" style="150" customWidth="1"/>
    <col min="1990" max="1994" width="9.7109375" style="150" customWidth="1"/>
    <col min="1995" max="1995" width="10.42578125" style="150" customWidth="1"/>
    <col min="1996" max="1996" width="10.140625" style="150" customWidth="1"/>
    <col min="1997" max="1997" width="1.140625" style="150" customWidth="1"/>
    <col min="1998" max="1998" width="18.7109375" style="150" customWidth="1"/>
    <col min="1999" max="1999" width="20.140625" style="150" customWidth="1"/>
    <col min="2000" max="2242" width="11.42578125" style="150"/>
    <col min="2243" max="2243" width="1.85546875" style="150" customWidth="1"/>
    <col min="2244" max="2244" width="13.5703125" style="150" customWidth="1"/>
    <col min="2245" max="2245" width="10.140625" style="150" customWidth="1"/>
    <col min="2246" max="2250" width="9.7109375" style="150" customWidth="1"/>
    <col min="2251" max="2251" width="10.42578125" style="150" customWidth="1"/>
    <col min="2252" max="2252" width="10.140625" style="150" customWidth="1"/>
    <col min="2253" max="2253" width="1.140625" style="150" customWidth="1"/>
    <col min="2254" max="2254" width="18.7109375" style="150" customWidth="1"/>
    <col min="2255" max="2255" width="20.140625" style="150" customWidth="1"/>
    <col min="2256" max="2498" width="11.42578125" style="150"/>
    <col min="2499" max="2499" width="1.85546875" style="150" customWidth="1"/>
    <col min="2500" max="2500" width="13.5703125" style="150" customWidth="1"/>
    <col min="2501" max="2501" width="10.140625" style="150" customWidth="1"/>
    <col min="2502" max="2506" width="9.7109375" style="150" customWidth="1"/>
    <col min="2507" max="2507" width="10.42578125" style="150" customWidth="1"/>
    <col min="2508" max="2508" width="10.140625" style="150" customWidth="1"/>
    <col min="2509" max="2509" width="1.140625" style="150" customWidth="1"/>
    <col min="2510" max="2510" width="18.7109375" style="150" customWidth="1"/>
    <col min="2511" max="2511" width="20.140625" style="150" customWidth="1"/>
    <col min="2512" max="2754" width="11.42578125" style="150"/>
    <col min="2755" max="2755" width="1.85546875" style="150" customWidth="1"/>
    <col min="2756" max="2756" width="13.5703125" style="150" customWidth="1"/>
    <col min="2757" max="2757" width="10.140625" style="150" customWidth="1"/>
    <col min="2758" max="2762" width="9.7109375" style="150" customWidth="1"/>
    <col min="2763" max="2763" width="10.42578125" style="150" customWidth="1"/>
    <col min="2764" max="2764" width="10.140625" style="150" customWidth="1"/>
    <col min="2765" max="2765" width="1.140625" style="150" customWidth="1"/>
    <col min="2766" max="2766" width="18.7109375" style="150" customWidth="1"/>
    <col min="2767" max="2767" width="20.140625" style="150" customWidth="1"/>
    <col min="2768" max="3010" width="11.42578125" style="150"/>
    <col min="3011" max="3011" width="1.85546875" style="150" customWidth="1"/>
    <col min="3012" max="3012" width="13.5703125" style="150" customWidth="1"/>
    <col min="3013" max="3013" width="10.140625" style="150" customWidth="1"/>
    <col min="3014" max="3018" width="9.7109375" style="150" customWidth="1"/>
    <col min="3019" max="3019" width="10.42578125" style="150" customWidth="1"/>
    <col min="3020" max="3020" width="10.140625" style="150" customWidth="1"/>
    <col min="3021" max="3021" width="1.140625" style="150" customWidth="1"/>
    <col min="3022" max="3022" width="18.7109375" style="150" customWidth="1"/>
    <col min="3023" max="3023" width="20.140625" style="150" customWidth="1"/>
    <col min="3024" max="3266" width="11.42578125" style="150"/>
    <col min="3267" max="3267" width="1.85546875" style="150" customWidth="1"/>
    <col min="3268" max="3268" width="13.5703125" style="150" customWidth="1"/>
    <col min="3269" max="3269" width="10.140625" style="150" customWidth="1"/>
    <col min="3270" max="3274" width="9.7109375" style="150" customWidth="1"/>
    <col min="3275" max="3275" width="10.42578125" style="150" customWidth="1"/>
    <col min="3276" max="3276" width="10.140625" style="150" customWidth="1"/>
    <col min="3277" max="3277" width="1.140625" style="150" customWidth="1"/>
    <col min="3278" max="3278" width="18.7109375" style="150" customWidth="1"/>
    <col min="3279" max="3279" width="20.140625" style="150" customWidth="1"/>
    <col min="3280" max="3522" width="11.42578125" style="150"/>
    <col min="3523" max="3523" width="1.85546875" style="150" customWidth="1"/>
    <col min="3524" max="3524" width="13.5703125" style="150" customWidth="1"/>
    <col min="3525" max="3525" width="10.140625" style="150" customWidth="1"/>
    <col min="3526" max="3530" width="9.7109375" style="150" customWidth="1"/>
    <col min="3531" max="3531" width="10.42578125" style="150" customWidth="1"/>
    <col min="3532" max="3532" width="10.140625" style="150" customWidth="1"/>
    <col min="3533" max="3533" width="1.140625" style="150" customWidth="1"/>
    <col min="3534" max="3534" width="18.7109375" style="150" customWidth="1"/>
    <col min="3535" max="3535" width="20.140625" style="150" customWidth="1"/>
    <col min="3536" max="3778" width="11.42578125" style="150"/>
    <col min="3779" max="3779" width="1.85546875" style="150" customWidth="1"/>
    <col min="3780" max="3780" width="13.5703125" style="150" customWidth="1"/>
    <col min="3781" max="3781" width="10.140625" style="150" customWidth="1"/>
    <col min="3782" max="3786" width="9.7109375" style="150" customWidth="1"/>
    <col min="3787" max="3787" width="10.42578125" style="150" customWidth="1"/>
    <col min="3788" max="3788" width="10.140625" style="150" customWidth="1"/>
    <col min="3789" max="3789" width="1.140625" style="150" customWidth="1"/>
    <col min="3790" max="3790" width="18.7109375" style="150" customWidth="1"/>
    <col min="3791" max="3791" width="20.140625" style="150" customWidth="1"/>
    <col min="3792" max="4034" width="11.42578125" style="150"/>
    <col min="4035" max="4035" width="1.85546875" style="150" customWidth="1"/>
    <col min="4036" max="4036" width="13.5703125" style="150" customWidth="1"/>
    <col min="4037" max="4037" width="10.140625" style="150" customWidth="1"/>
    <col min="4038" max="4042" width="9.7109375" style="150" customWidth="1"/>
    <col min="4043" max="4043" width="10.42578125" style="150" customWidth="1"/>
    <col min="4044" max="4044" width="10.140625" style="150" customWidth="1"/>
    <col min="4045" max="4045" width="1.140625" style="150" customWidth="1"/>
    <col min="4046" max="4046" width="18.7109375" style="150" customWidth="1"/>
    <col min="4047" max="4047" width="20.140625" style="150" customWidth="1"/>
    <col min="4048" max="4290" width="11.42578125" style="150"/>
    <col min="4291" max="4291" width="1.85546875" style="150" customWidth="1"/>
    <col min="4292" max="4292" width="13.5703125" style="150" customWidth="1"/>
    <col min="4293" max="4293" width="10.140625" style="150" customWidth="1"/>
    <col min="4294" max="4298" width="9.7109375" style="150" customWidth="1"/>
    <col min="4299" max="4299" width="10.42578125" style="150" customWidth="1"/>
    <col min="4300" max="4300" width="10.140625" style="150" customWidth="1"/>
    <col min="4301" max="4301" width="1.140625" style="150" customWidth="1"/>
    <col min="4302" max="4302" width="18.7109375" style="150" customWidth="1"/>
    <col min="4303" max="4303" width="20.140625" style="150" customWidth="1"/>
    <col min="4304" max="4546" width="11.42578125" style="150"/>
    <col min="4547" max="4547" width="1.85546875" style="150" customWidth="1"/>
    <col min="4548" max="4548" width="13.5703125" style="150" customWidth="1"/>
    <col min="4549" max="4549" width="10.140625" style="150" customWidth="1"/>
    <col min="4550" max="4554" width="9.7109375" style="150" customWidth="1"/>
    <col min="4555" max="4555" width="10.42578125" style="150" customWidth="1"/>
    <col min="4556" max="4556" width="10.140625" style="150" customWidth="1"/>
    <col min="4557" max="4557" width="1.140625" style="150" customWidth="1"/>
    <col min="4558" max="4558" width="18.7109375" style="150" customWidth="1"/>
    <col min="4559" max="4559" width="20.140625" style="150" customWidth="1"/>
    <col min="4560" max="4802" width="11.42578125" style="150"/>
    <col min="4803" max="4803" width="1.85546875" style="150" customWidth="1"/>
    <col min="4804" max="4804" width="13.5703125" style="150" customWidth="1"/>
    <col min="4805" max="4805" width="10.140625" style="150" customWidth="1"/>
    <col min="4806" max="4810" width="9.7109375" style="150" customWidth="1"/>
    <col min="4811" max="4811" width="10.42578125" style="150" customWidth="1"/>
    <col min="4812" max="4812" width="10.140625" style="150" customWidth="1"/>
    <col min="4813" max="4813" width="1.140625" style="150" customWidth="1"/>
    <col min="4814" max="4814" width="18.7109375" style="150" customWidth="1"/>
    <col min="4815" max="4815" width="20.140625" style="150" customWidth="1"/>
    <col min="4816" max="5058" width="11.42578125" style="150"/>
    <col min="5059" max="5059" width="1.85546875" style="150" customWidth="1"/>
    <col min="5060" max="5060" width="13.5703125" style="150" customWidth="1"/>
    <col min="5061" max="5061" width="10.140625" style="150" customWidth="1"/>
    <col min="5062" max="5066" width="9.7109375" style="150" customWidth="1"/>
    <col min="5067" max="5067" width="10.42578125" style="150" customWidth="1"/>
    <col min="5068" max="5068" width="10.140625" style="150" customWidth="1"/>
    <col min="5069" max="5069" width="1.140625" style="150" customWidth="1"/>
    <col min="5070" max="5070" width="18.7109375" style="150" customWidth="1"/>
    <col min="5071" max="5071" width="20.140625" style="150" customWidth="1"/>
    <col min="5072" max="5314" width="11.42578125" style="150"/>
    <col min="5315" max="5315" width="1.85546875" style="150" customWidth="1"/>
    <col min="5316" max="5316" width="13.5703125" style="150" customWidth="1"/>
    <col min="5317" max="5317" width="10.140625" style="150" customWidth="1"/>
    <col min="5318" max="5322" width="9.7109375" style="150" customWidth="1"/>
    <col min="5323" max="5323" width="10.42578125" style="150" customWidth="1"/>
    <col min="5324" max="5324" width="10.140625" style="150" customWidth="1"/>
    <col min="5325" max="5325" width="1.140625" style="150" customWidth="1"/>
    <col min="5326" max="5326" width="18.7109375" style="150" customWidth="1"/>
    <col min="5327" max="5327" width="20.140625" style="150" customWidth="1"/>
    <col min="5328" max="5570" width="11.42578125" style="150"/>
    <col min="5571" max="5571" width="1.85546875" style="150" customWidth="1"/>
    <col min="5572" max="5572" width="13.5703125" style="150" customWidth="1"/>
    <col min="5573" max="5573" width="10.140625" style="150" customWidth="1"/>
    <col min="5574" max="5578" width="9.7109375" style="150" customWidth="1"/>
    <col min="5579" max="5579" width="10.42578125" style="150" customWidth="1"/>
    <col min="5580" max="5580" width="10.140625" style="150" customWidth="1"/>
    <col min="5581" max="5581" width="1.140625" style="150" customWidth="1"/>
    <col min="5582" max="5582" width="18.7109375" style="150" customWidth="1"/>
    <col min="5583" max="5583" width="20.140625" style="150" customWidth="1"/>
    <col min="5584" max="5826" width="11.42578125" style="150"/>
    <col min="5827" max="5827" width="1.85546875" style="150" customWidth="1"/>
    <col min="5828" max="5828" width="13.5703125" style="150" customWidth="1"/>
    <col min="5829" max="5829" width="10.140625" style="150" customWidth="1"/>
    <col min="5830" max="5834" width="9.7109375" style="150" customWidth="1"/>
    <col min="5835" max="5835" width="10.42578125" style="150" customWidth="1"/>
    <col min="5836" max="5836" width="10.140625" style="150" customWidth="1"/>
    <col min="5837" max="5837" width="1.140625" style="150" customWidth="1"/>
    <col min="5838" max="5838" width="18.7109375" style="150" customWidth="1"/>
    <col min="5839" max="5839" width="20.140625" style="150" customWidth="1"/>
    <col min="5840" max="6082" width="11.42578125" style="150"/>
    <col min="6083" max="6083" width="1.85546875" style="150" customWidth="1"/>
    <col min="6084" max="6084" width="13.5703125" style="150" customWidth="1"/>
    <col min="6085" max="6085" width="10.140625" style="150" customWidth="1"/>
    <col min="6086" max="6090" width="9.7109375" style="150" customWidth="1"/>
    <col min="6091" max="6091" width="10.42578125" style="150" customWidth="1"/>
    <col min="6092" max="6092" width="10.140625" style="150" customWidth="1"/>
    <col min="6093" max="6093" width="1.140625" style="150" customWidth="1"/>
    <col min="6094" max="6094" width="18.7109375" style="150" customWidth="1"/>
    <col min="6095" max="6095" width="20.140625" style="150" customWidth="1"/>
    <col min="6096" max="6338" width="11.42578125" style="150"/>
    <col min="6339" max="6339" width="1.85546875" style="150" customWidth="1"/>
    <col min="6340" max="6340" width="13.5703125" style="150" customWidth="1"/>
    <col min="6341" max="6341" width="10.140625" style="150" customWidth="1"/>
    <col min="6342" max="6346" width="9.7109375" style="150" customWidth="1"/>
    <col min="6347" max="6347" width="10.42578125" style="150" customWidth="1"/>
    <col min="6348" max="6348" width="10.140625" style="150" customWidth="1"/>
    <col min="6349" max="6349" width="1.140625" style="150" customWidth="1"/>
    <col min="6350" max="6350" width="18.7109375" style="150" customWidth="1"/>
    <col min="6351" max="6351" width="20.140625" style="150" customWidth="1"/>
    <col min="6352" max="6594" width="11.42578125" style="150"/>
    <col min="6595" max="6595" width="1.85546875" style="150" customWidth="1"/>
    <col min="6596" max="6596" width="13.5703125" style="150" customWidth="1"/>
    <col min="6597" max="6597" width="10.140625" style="150" customWidth="1"/>
    <col min="6598" max="6602" width="9.7109375" style="150" customWidth="1"/>
    <col min="6603" max="6603" width="10.42578125" style="150" customWidth="1"/>
    <col min="6604" max="6604" width="10.140625" style="150" customWidth="1"/>
    <col min="6605" max="6605" width="1.140625" style="150" customWidth="1"/>
    <col min="6606" max="6606" width="18.7109375" style="150" customWidth="1"/>
    <col min="6607" max="6607" width="20.140625" style="150" customWidth="1"/>
    <col min="6608" max="6850" width="11.42578125" style="150"/>
    <col min="6851" max="6851" width="1.85546875" style="150" customWidth="1"/>
    <col min="6852" max="6852" width="13.5703125" style="150" customWidth="1"/>
    <col min="6853" max="6853" width="10.140625" style="150" customWidth="1"/>
    <col min="6854" max="6858" width="9.7109375" style="150" customWidth="1"/>
    <col min="6859" max="6859" width="10.42578125" style="150" customWidth="1"/>
    <col min="6860" max="6860" width="10.140625" style="150" customWidth="1"/>
    <col min="6861" max="6861" width="1.140625" style="150" customWidth="1"/>
    <col min="6862" max="6862" width="18.7109375" style="150" customWidth="1"/>
    <col min="6863" max="6863" width="20.140625" style="150" customWidth="1"/>
    <col min="6864" max="7106" width="11.42578125" style="150"/>
    <col min="7107" max="7107" width="1.85546875" style="150" customWidth="1"/>
    <col min="7108" max="7108" width="13.5703125" style="150" customWidth="1"/>
    <col min="7109" max="7109" width="10.140625" style="150" customWidth="1"/>
    <col min="7110" max="7114" width="9.7109375" style="150" customWidth="1"/>
    <col min="7115" max="7115" width="10.42578125" style="150" customWidth="1"/>
    <col min="7116" max="7116" width="10.140625" style="150" customWidth="1"/>
    <col min="7117" max="7117" width="1.140625" style="150" customWidth="1"/>
    <col min="7118" max="7118" width="18.7109375" style="150" customWidth="1"/>
    <col min="7119" max="7119" width="20.140625" style="150" customWidth="1"/>
    <col min="7120" max="7362" width="11.42578125" style="150"/>
    <col min="7363" max="7363" width="1.85546875" style="150" customWidth="1"/>
    <col min="7364" max="7364" width="13.5703125" style="150" customWidth="1"/>
    <col min="7365" max="7365" width="10.140625" style="150" customWidth="1"/>
    <col min="7366" max="7370" width="9.7109375" style="150" customWidth="1"/>
    <col min="7371" max="7371" width="10.42578125" style="150" customWidth="1"/>
    <col min="7372" max="7372" width="10.140625" style="150" customWidth="1"/>
    <col min="7373" max="7373" width="1.140625" style="150" customWidth="1"/>
    <col min="7374" max="7374" width="18.7109375" style="150" customWidth="1"/>
    <col min="7375" max="7375" width="20.140625" style="150" customWidth="1"/>
    <col min="7376" max="7618" width="11.42578125" style="150"/>
    <col min="7619" max="7619" width="1.85546875" style="150" customWidth="1"/>
    <col min="7620" max="7620" width="13.5703125" style="150" customWidth="1"/>
    <col min="7621" max="7621" width="10.140625" style="150" customWidth="1"/>
    <col min="7622" max="7626" width="9.7109375" style="150" customWidth="1"/>
    <col min="7627" max="7627" width="10.42578125" style="150" customWidth="1"/>
    <col min="7628" max="7628" width="10.140625" style="150" customWidth="1"/>
    <col min="7629" max="7629" width="1.140625" style="150" customWidth="1"/>
    <col min="7630" max="7630" width="18.7109375" style="150" customWidth="1"/>
    <col min="7631" max="7631" width="20.140625" style="150" customWidth="1"/>
    <col min="7632" max="7874" width="11.42578125" style="150"/>
    <col min="7875" max="7875" width="1.85546875" style="150" customWidth="1"/>
    <col min="7876" max="7876" width="13.5703125" style="150" customWidth="1"/>
    <col min="7877" max="7877" width="10.140625" style="150" customWidth="1"/>
    <col min="7878" max="7882" width="9.7109375" style="150" customWidth="1"/>
    <col min="7883" max="7883" width="10.42578125" style="150" customWidth="1"/>
    <col min="7884" max="7884" width="10.140625" style="150" customWidth="1"/>
    <col min="7885" max="7885" width="1.140625" style="150" customWidth="1"/>
    <col min="7886" max="7886" width="18.7109375" style="150" customWidth="1"/>
    <col min="7887" max="7887" width="20.140625" style="150" customWidth="1"/>
    <col min="7888" max="8130" width="11.42578125" style="150"/>
    <col min="8131" max="8131" width="1.85546875" style="150" customWidth="1"/>
    <col min="8132" max="8132" width="13.5703125" style="150" customWidth="1"/>
    <col min="8133" max="8133" width="10.140625" style="150" customWidth="1"/>
    <col min="8134" max="8138" width="9.7109375" style="150" customWidth="1"/>
    <col min="8139" max="8139" width="10.42578125" style="150" customWidth="1"/>
    <col min="8140" max="8140" width="10.140625" style="150" customWidth="1"/>
    <col min="8141" max="8141" width="1.140625" style="150" customWidth="1"/>
    <col min="8142" max="8142" width="18.7109375" style="150" customWidth="1"/>
    <col min="8143" max="8143" width="20.140625" style="150" customWidth="1"/>
    <col min="8144" max="8386" width="11.42578125" style="150"/>
    <col min="8387" max="8387" width="1.85546875" style="150" customWidth="1"/>
    <col min="8388" max="8388" width="13.5703125" style="150" customWidth="1"/>
    <col min="8389" max="8389" width="10.140625" style="150" customWidth="1"/>
    <col min="8390" max="8394" width="9.7109375" style="150" customWidth="1"/>
    <col min="8395" max="8395" width="10.42578125" style="150" customWidth="1"/>
    <col min="8396" max="8396" width="10.140625" style="150" customWidth="1"/>
    <col min="8397" max="8397" width="1.140625" style="150" customWidth="1"/>
    <col min="8398" max="8398" width="18.7109375" style="150" customWidth="1"/>
    <col min="8399" max="8399" width="20.140625" style="150" customWidth="1"/>
    <col min="8400" max="8642" width="11.42578125" style="150"/>
    <col min="8643" max="8643" width="1.85546875" style="150" customWidth="1"/>
    <col min="8644" max="8644" width="13.5703125" style="150" customWidth="1"/>
    <col min="8645" max="8645" width="10.140625" style="150" customWidth="1"/>
    <col min="8646" max="8650" width="9.7109375" style="150" customWidth="1"/>
    <col min="8651" max="8651" width="10.42578125" style="150" customWidth="1"/>
    <col min="8652" max="8652" width="10.140625" style="150" customWidth="1"/>
    <col min="8653" max="8653" width="1.140625" style="150" customWidth="1"/>
    <col min="8654" max="8654" width="18.7109375" style="150" customWidth="1"/>
    <col min="8655" max="8655" width="20.140625" style="150" customWidth="1"/>
    <col min="8656" max="8898" width="11.42578125" style="150"/>
    <col min="8899" max="8899" width="1.85546875" style="150" customWidth="1"/>
    <col min="8900" max="8900" width="13.5703125" style="150" customWidth="1"/>
    <col min="8901" max="8901" width="10.140625" style="150" customWidth="1"/>
    <col min="8902" max="8906" width="9.7109375" style="150" customWidth="1"/>
    <col min="8907" max="8907" width="10.42578125" style="150" customWidth="1"/>
    <col min="8908" max="8908" width="10.140625" style="150" customWidth="1"/>
    <col min="8909" max="8909" width="1.140625" style="150" customWidth="1"/>
    <col min="8910" max="8910" width="18.7109375" style="150" customWidth="1"/>
    <col min="8911" max="8911" width="20.140625" style="150" customWidth="1"/>
    <col min="8912" max="9154" width="11.42578125" style="150"/>
    <col min="9155" max="9155" width="1.85546875" style="150" customWidth="1"/>
    <col min="9156" max="9156" width="13.5703125" style="150" customWidth="1"/>
    <col min="9157" max="9157" width="10.140625" style="150" customWidth="1"/>
    <col min="9158" max="9162" width="9.7109375" style="150" customWidth="1"/>
    <col min="9163" max="9163" width="10.42578125" style="150" customWidth="1"/>
    <col min="9164" max="9164" width="10.140625" style="150" customWidth="1"/>
    <col min="9165" max="9165" width="1.140625" style="150" customWidth="1"/>
    <col min="9166" max="9166" width="18.7109375" style="150" customWidth="1"/>
    <col min="9167" max="9167" width="20.140625" style="150" customWidth="1"/>
    <col min="9168" max="9410" width="11.42578125" style="150"/>
    <col min="9411" max="9411" width="1.85546875" style="150" customWidth="1"/>
    <col min="9412" max="9412" width="13.5703125" style="150" customWidth="1"/>
    <col min="9413" max="9413" width="10.140625" style="150" customWidth="1"/>
    <col min="9414" max="9418" width="9.7109375" style="150" customWidth="1"/>
    <col min="9419" max="9419" width="10.42578125" style="150" customWidth="1"/>
    <col min="9420" max="9420" width="10.140625" style="150" customWidth="1"/>
    <col min="9421" max="9421" width="1.140625" style="150" customWidth="1"/>
    <col min="9422" max="9422" width="18.7109375" style="150" customWidth="1"/>
    <col min="9423" max="9423" width="20.140625" style="150" customWidth="1"/>
    <col min="9424" max="9666" width="11.42578125" style="150"/>
    <col min="9667" max="9667" width="1.85546875" style="150" customWidth="1"/>
    <col min="9668" max="9668" width="13.5703125" style="150" customWidth="1"/>
    <col min="9669" max="9669" width="10.140625" style="150" customWidth="1"/>
    <col min="9670" max="9674" width="9.7109375" style="150" customWidth="1"/>
    <col min="9675" max="9675" width="10.42578125" style="150" customWidth="1"/>
    <col min="9676" max="9676" width="10.140625" style="150" customWidth="1"/>
    <col min="9677" max="9677" width="1.140625" style="150" customWidth="1"/>
    <col min="9678" max="9678" width="18.7109375" style="150" customWidth="1"/>
    <col min="9679" max="9679" width="20.140625" style="150" customWidth="1"/>
    <col min="9680" max="9922" width="11.42578125" style="150"/>
    <col min="9923" max="9923" width="1.85546875" style="150" customWidth="1"/>
    <col min="9924" max="9924" width="13.5703125" style="150" customWidth="1"/>
    <col min="9925" max="9925" width="10.140625" style="150" customWidth="1"/>
    <col min="9926" max="9930" width="9.7109375" style="150" customWidth="1"/>
    <col min="9931" max="9931" width="10.42578125" style="150" customWidth="1"/>
    <col min="9932" max="9932" width="10.140625" style="150" customWidth="1"/>
    <col min="9933" max="9933" width="1.140625" style="150" customWidth="1"/>
    <col min="9934" max="9934" width="18.7109375" style="150" customWidth="1"/>
    <col min="9935" max="9935" width="20.140625" style="150" customWidth="1"/>
    <col min="9936" max="10178" width="11.42578125" style="150"/>
    <col min="10179" max="10179" width="1.85546875" style="150" customWidth="1"/>
    <col min="10180" max="10180" width="13.5703125" style="150" customWidth="1"/>
    <col min="10181" max="10181" width="10.140625" style="150" customWidth="1"/>
    <col min="10182" max="10186" width="9.7109375" style="150" customWidth="1"/>
    <col min="10187" max="10187" width="10.42578125" style="150" customWidth="1"/>
    <col min="10188" max="10188" width="10.140625" style="150" customWidth="1"/>
    <col min="10189" max="10189" width="1.140625" style="150" customWidth="1"/>
    <col min="10190" max="10190" width="18.7109375" style="150" customWidth="1"/>
    <col min="10191" max="10191" width="20.140625" style="150" customWidth="1"/>
    <col min="10192" max="10434" width="11.42578125" style="150"/>
    <col min="10435" max="10435" width="1.85546875" style="150" customWidth="1"/>
    <col min="10436" max="10436" width="13.5703125" style="150" customWidth="1"/>
    <col min="10437" max="10437" width="10.140625" style="150" customWidth="1"/>
    <col min="10438" max="10442" width="9.7109375" style="150" customWidth="1"/>
    <col min="10443" max="10443" width="10.42578125" style="150" customWidth="1"/>
    <col min="10444" max="10444" width="10.140625" style="150" customWidth="1"/>
    <col min="10445" max="10445" width="1.140625" style="150" customWidth="1"/>
    <col min="10446" max="10446" width="18.7109375" style="150" customWidth="1"/>
    <col min="10447" max="10447" width="20.140625" style="150" customWidth="1"/>
    <col min="10448" max="10690" width="11.42578125" style="150"/>
    <col min="10691" max="10691" width="1.85546875" style="150" customWidth="1"/>
    <col min="10692" max="10692" width="13.5703125" style="150" customWidth="1"/>
    <col min="10693" max="10693" width="10.140625" style="150" customWidth="1"/>
    <col min="10694" max="10698" width="9.7109375" style="150" customWidth="1"/>
    <col min="10699" max="10699" width="10.42578125" style="150" customWidth="1"/>
    <col min="10700" max="10700" width="10.140625" style="150" customWidth="1"/>
    <col min="10701" max="10701" width="1.140625" style="150" customWidth="1"/>
    <col min="10702" max="10702" width="18.7109375" style="150" customWidth="1"/>
    <col min="10703" max="10703" width="20.140625" style="150" customWidth="1"/>
    <col min="10704" max="10946" width="11.42578125" style="150"/>
    <col min="10947" max="10947" width="1.85546875" style="150" customWidth="1"/>
    <col min="10948" max="10948" width="13.5703125" style="150" customWidth="1"/>
    <col min="10949" max="10949" width="10.140625" style="150" customWidth="1"/>
    <col min="10950" max="10954" width="9.7109375" style="150" customWidth="1"/>
    <col min="10955" max="10955" width="10.42578125" style="150" customWidth="1"/>
    <col min="10956" max="10956" width="10.140625" style="150" customWidth="1"/>
    <col min="10957" max="10957" width="1.140625" style="150" customWidth="1"/>
    <col min="10958" max="10958" width="18.7109375" style="150" customWidth="1"/>
    <col min="10959" max="10959" width="20.140625" style="150" customWidth="1"/>
    <col min="10960" max="11202" width="11.42578125" style="150"/>
    <col min="11203" max="11203" width="1.85546875" style="150" customWidth="1"/>
    <col min="11204" max="11204" width="13.5703125" style="150" customWidth="1"/>
    <col min="11205" max="11205" width="10.140625" style="150" customWidth="1"/>
    <col min="11206" max="11210" width="9.7109375" style="150" customWidth="1"/>
    <col min="11211" max="11211" width="10.42578125" style="150" customWidth="1"/>
    <col min="11212" max="11212" width="10.140625" style="150" customWidth="1"/>
    <col min="11213" max="11213" width="1.140625" style="150" customWidth="1"/>
    <col min="11214" max="11214" width="18.7109375" style="150" customWidth="1"/>
    <col min="11215" max="11215" width="20.140625" style="150" customWidth="1"/>
    <col min="11216" max="11458" width="11.42578125" style="150"/>
    <col min="11459" max="11459" width="1.85546875" style="150" customWidth="1"/>
    <col min="11460" max="11460" width="13.5703125" style="150" customWidth="1"/>
    <col min="11461" max="11461" width="10.140625" style="150" customWidth="1"/>
    <col min="11462" max="11466" width="9.7109375" style="150" customWidth="1"/>
    <col min="11467" max="11467" width="10.42578125" style="150" customWidth="1"/>
    <col min="11468" max="11468" width="10.140625" style="150" customWidth="1"/>
    <col min="11469" max="11469" width="1.140625" style="150" customWidth="1"/>
    <col min="11470" max="11470" width="18.7109375" style="150" customWidth="1"/>
    <col min="11471" max="11471" width="20.140625" style="150" customWidth="1"/>
    <col min="11472" max="11714" width="11.42578125" style="150"/>
    <col min="11715" max="11715" width="1.85546875" style="150" customWidth="1"/>
    <col min="11716" max="11716" width="13.5703125" style="150" customWidth="1"/>
    <col min="11717" max="11717" width="10.140625" style="150" customWidth="1"/>
    <col min="11718" max="11722" width="9.7109375" style="150" customWidth="1"/>
    <col min="11723" max="11723" width="10.42578125" style="150" customWidth="1"/>
    <col min="11724" max="11724" width="10.140625" style="150" customWidth="1"/>
    <col min="11725" max="11725" width="1.140625" style="150" customWidth="1"/>
    <col min="11726" max="11726" width="18.7109375" style="150" customWidth="1"/>
    <col min="11727" max="11727" width="20.140625" style="150" customWidth="1"/>
    <col min="11728" max="11970" width="11.42578125" style="150"/>
    <col min="11971" max="11971" width="1.85546875" style="150" customWidth="1"/>
    <col min="11972" max="11972" width="13.5703125" style="150" customWidth="1"/>
    <col min="11973" max="11973" width="10.140625" style="150" customWidth="1"/>
    <col min="11974" max="11978" width="9.7109375" style="150" customWidth="1"/>
    <col min="11979" max="11979" width="10.42578125" style="150" customWidth="1"/>
    <col min="11980" max="11980" width="10.140625" style="150" customWidth="1"/>
    <col min="11981" max="11981" width="1.140625" style="150" customWidth="1"/>
    <col min="11982" max="11982" width="18.7109375" style="150" customWidth="1"/>
    <col min="11983" max="11983" width="20.140625" style="150" customWidth="1"/>
    <col min="11984" max="12226" width="11.42578125" style="150"/>
    <col min="12227" max="12227" width="1.85546875" style="150" customWidth="1"/>
    <col min="12228" max="12228" width="13.5703125" style="150" customWidth="1"/>
    <col min="12229" max="12229" width="10.140625" style="150" customWidth="1"/>
    <col min="12230" max="12234" width="9.7109375" style="150" customWidth="1"/>
    <col min="12235" max="12235" width="10.42578125" style="150" customWidth="1"/>
    <col min="12236" max="12236" width="10.140625" style="150" customWidth="1"/>
    <col min="12237" max="12237" width="1.140625" style="150" customWidth="1"/>
    <col min="12238" max="12238" width="18.7109375" style="150" customWidth="1"/>
    <col min="12239" max="12239" width="20.140625" style="150" customWidth="1"/>
    <col min="12240" max="12482" width="11.42578125" style="150"/>
    <col min="12483" max="12483" width="1.85546875" style="150" customWidth="1"/>
    <col min="12484" max="12484" width="13.5703125" style="150" customWidth="1"/>
    <col min="12485" max="12485" width="10.140625" style="150" customWidth="1"/>
    <col min="12486" max="12490" width="9.7109375" style="150" customWidth="1"/>
    <col min="12491" max="12491" width="10.42578125" style="150" customWidth="1"/>
    <col min="12492" max="12492" width="10.140625" style="150" customWidth="1"/>
    <col min="12493" max="12493" width="1.140625" style="150" customWidth="1"/>
    <col min="12494" max="12494" width="18.7109375" style="150" customWidth="1"/>
    <col min="12495" max="12495" width="20.140625" style="150" customWidth="1"/>
    <col min="12496" max="12738" width="11.42578125" style="150"/>
    <col min="12739" max="12739" width="1.85546875" style="150" customWidth="1"/>
    <col min="12740" max="12740" width="13.5703125" style="150" customWidth="1"/>
    <col min="12741" max="12741" width="10.140625" style="150" customWidth="1"/>
    <col min="12742" max="12746" width="9.7109375" style="150" customWidth="1"/>
    <col min="12747" max="12747" width="10.42578125" style="150" customWidth="1"/>
    <col min="12748" max="12748" width="10.140625" style="150" customWidth="1"/>
    <col min="12749" max="12749" width="1.140625" style="150" customWidth="1"/>
    <col min="12750" max="12750" width="18.7109375" style="150" customWidth="1"/>
    <col min="12751" max="12751" width="20.140625" style="150" customWidth="1"/>
    <col min="12752" max="12994" width="11.42578125" style="150"/>
    <col min="12995" max="12995" width="1.85546875" style="150" customWidth="1"/>
    <col min="12996" max="12996" width="13.5703125" style="150" customWidth="1"/>
    <col min="12997" max="12997" width="10.140625" style="150" customWidth="1"/>
    <col min="12998" max="13002" width="9.7109375" style="150" customWidth="1"/>
    <col min="13003" max="13003" width="10.42578125" style="150" customWidth="1"/>
    <col min="13004" max="13004" width="10.140625" style="150" customWidth="1"/>
    <col min="13005" max="13005" width="1.140625" style="150" customWidth="1"/>
    <col min="13006" max="13006" width="18.7109375" style="150" customWidth="1"/>
    <col min="13007" max="13007" width="20.140625" style="150" customWidth="1"/>
    <col min="13008" max="13250" width="11.42578125" style="150"/>
    <col min="13251" max="13251" width="1.85546875" style="150" customWidth="1"/>
    <col min="13252" max="13252" width="13.5703125" style="150" customWidth="1"/>
    <col min="13253" max="13253" width="10.140625" style="150" customWidth="1"/>
    <col min="13254" max="13258" width="9.7109375" style="150" customWidth="1"/>
    <col min="13259" max="13259" width="10.42578125" style="150" customWidth="1"/>
    <col min="13260" max="13260" width="10.140625" style="150" customWidth="1"/>
    <col min="13261" max="13261" width="1.140625" style="150" customWidth="1"/>
    <col min="13262" max="13262" width="18.7109375" style="150" customWidth="1"/>
    <col min="13263" max="13263" width="20.140625" style="150" customWidth="1"/>
    <col min="13264" max="13506" width="11.42578125" style="150"/>
    <col min="13507" max="13507" width="1.85546875" style="150" customWidth="1"/>
    <col min="13508" max="13508" width="13.5703125" style="150" customWidth="1"/>
    <col min="13509" max="13509" width="10.140625" style="150" customWidth="1"/>
    <col min="13510" max="13514" width="9.7109375" style="150" customWidth="1"/>
    <col min="13515" max="13515" width="10.42578125" style="150" customWidth="1"/>
    <col min="13516" max="13516" width="10.140625" style="150" customWidth="1"/>
    <col min="13517" max="13517" width="1.140625" style="150" customWidth="1"/>
    <col min="13518" max="13518" width="18.7109375" style="150" customWidth="1"/>
    <col min="13519" max="13519" width="20.140625" style="150" customWidth="1"/>
    <col min="13520" max="13762" width="11.42578125" style="150"/>
    <col min="13763" max="13763" width="1.85546875" style="150" customWidth="1"/>
    <col min="13764" max="13764" width="13.5703125" style="150" customWidth="1"/>
    <col min="13765" max="13765" width="10.140625" style="150" customWidth="1"/>
    <col min="13766" max="13770" width="9.7109375" style="150" customWidth="1"/>
    <col min="13771" max="13771" width="10.42578125" style="150" customWidth="1"/>
    <col min="13772" max="13772" width="10.140625" style="150" customWidth="1"/>
    <col min="13773" max="13773" width="1.140625" style="150" customWidth="1"/>
    <col min="13774" max="13774" width="18.7109375" style="150" customWidth="1"/>
    <col min="13775" max="13775" width="20.140625" style="150" customWidth="1"/>
    <col min="13776" max="14018" width="11.42578125" style="150"/>
    <col min="14019" max="14019" width="1.85546875" style="150" customWidth="1"/>
    <col min="14020" max="14020" width="13.5703125" style="150" customWidth="1"/>
    <col min="14021" max="14021" width="10.140625" style="150" customWidth="1"/>
    <col min="14022" max="14026" width="9.7109375" style="150" customWidth="1"/>
    <col min="14027" max="14027" width="10.42578125" style="150" customWidth="1"/>
    <col min="14028" max="14028" width="10.140625" style="150" customWidth="1"/>
    <col min="14029" max="14029" width="1.140625" style="150" customWidth="1"/>
    <col min="14030" max="14030" width="18.7109375" style="150" customWidth="1"/>
    <col min="14031" max="14031" width="20.140625" style="150" customWidth="1"/>
    <col min="14032" max="14274" width="11.42578125" style="150"/>
    <col min="14275" max="14275" width="1.85546875" style="150" customWidth="1"/>
    <col min="14276" max="14276" width="13.5703125" style="150" customWidth="1"/>
    <col min="14277" max="14277" width="10.140625" style="150" customWidth="1"/>
    <col min="14278" max="14282" width="9.7109375" style="150" customWidth="1"/>
    <col min="14283" max="14283" width="10.42578125" style="150" customWidth="1"/>
    <col min="14284" max="14284" width="10.140625" style="150" customWidth="1"/>
    <col min="14285" max="14285" width="1.140625" style="150" customWidth="1"/>
    <col min="14286" max="14286" width="18.7109375" style="150" customWidth="1"/>
    <col min="14287" max="14287" width="20.140625" style="150" customWidth="1"/>
    <col min="14288" max="14530" width="11.42578125" style="150"/>
    <col min="14531" max="14531" width="1.85546875" style="150" customWidth="1"/>
    <col min="14532" max="14532" width="13.5703125" style="150" customWidth="1"/>
    <col min="14533" max="14533" width="10.140625" style="150" customWidth="1"/>
    <col min="14534" max="14538" width="9.7109375" style="150" customWidth="1"/>
    <col min="14539" max="14539" width="10.42578125" style="150" customWidth="1"/>
    <col min="14540" max="14540" width="10.140625" style="150" customWidth="1"/>
    <col min="14541" max="14541" width="1.140625" style="150" customWidth="1"/>
    <col min="14542" max="14542" width="18.7109375" style="150" customWidth="1"/>
    <col min="14543" max="14543" width="20.140625" style="150" customWidth="1"/>
    <col min="14544" max="14786" width="11.42578125" style="150"/>
    <col min="14787" max="14787" width="1.85546875" style="150" customWidth="1"/>
    <col min="14788" max="14788" width="13.5703125" style="150" customWidth="1"/>
    <col min="14789" max="14789" width="10.140625" style="150" customWidth="1"/>
    <col min="14790" max="14794" width="9.7109375" style="150" customWidth="1"/>
    <col min="14795" max="14795" width="10.42578125" style="150" customWidth="1"/>
    <col min="14796" max="14796" width="10.140625" style="150" customWidth="1"/>
    <col min="14797" max="14797" width="1.140625" style="150" customWidth="1"/>
    <col min="14798" max="14798" width="18.7109375" style="150" customWidth="1"/>
    <col min="14799" max="14799" width="20.140625" style="150" customWidth="1"/>
    <col min="14800" max="15042" width="11.42578125" style="150"/>
    <col min="15043" max="15043" width="1.85546875" style="150" customWidth="1"/>
    <col min="15044" max="15044" width="13.5703125" style="150" customWidth="1"/>
    <col min="15045" max="15045" width="10.140625" style="150" customWidth="1"/>
    <col min="15046" max="15050" width="9.7109375" style="150" customWidth="1"/>
    <col min="15051" max="15051" width="10.42578125" style="150" customWidth="1"/>
    <col min="15052" max="15052" width="10.140625" style="150" customWidth="1"/>
    <col min="15053" max="15053" width="1.140625" style="150" customWidth="1"/>
    <col min="15054" max="15054" width="18.7109375" style="150" customWidth="1"/>
    <col min="15055" max="15055" width="20.140625" style="150" customWidth="1"/>
    <col min="15056" max="15298" width="11.42578125" style="150"/>
    <col min="15299" max="15299" width="1.85546875" style="150" customWidth="1"/>
    <col min="15300" max="15300" width="13.5703125" style="150" customWidth="1"/>
    <col min="15301" max="15301" width="10.140625" style="150" customWidth="1"/>
    <col min="15302" max="15306" width="9.7109375" style="150" customWidth="1"/>
    <col min="15307" max="15307" width="10.42578125" style="150" customWidth="1"/>
    <col min="15308" max="15308" width="10.140625" style="150" customWidth="1"/>
    <col min="15309" max="15309" width="1.140625" style="150" customWidth="1"/>
    <col min="15310" max="15310" width="18.7109375" style="150" customWidth="1"/>
    <col min="15311" max="15311" width="20.140625" style="150" customWidth="1"/>
    <col min="15312" max="15554" width="11.42578125" style="150"/>
    <col min="15555" max="15555" width="1.85546875" style="150" customWidth="1"/>
    <col min="15556" max="15556" width="13.5703125" style="150" customWidth="1"/>
    <col min="15557" max="15557" width="10.140625" style="150" customWidth="1"/>
    <col min="15558" max="15562" width="9.7109375" style="150" customWidth="1"/>
    <col min="15563" max="15563" width="10.42578125" style="150" customWidth="1"/>
    <col min="15564" max="15564" width="10.140625" style="150" customWidth="1"/>
    <col min="15565" max="15565" width="1.140625" style="150" customWidth="1"/>
    <col min="15566" max="15566" width="18.7109375" style="150" customWidth="1"/>
    <col min="15567" max="15567" width="20.140625" style="150" customWidth="1"/>
    <col min="15568" max="15810" width="11.42578125" style="150"/>
    <col min="15811" max="15811" width="1.85546875" style="150" customWidth="1"/>
    <col min="15812" max="15812" width="13.5703125" style="150" customWidth="1"/>
    <col min="15813" max="15813" width="10.140625" style="150" customWidth="1"/>
    <col min="15814" max="15818" width="9.7109375" style="150" customWidth="1"/>
    <col min="15819" max="15819" width="10.42578125" style="150" customWidth="1"/>
    <col min="15820" max="15820" width="10.140625" style="150" customWidth="1"/>
    <col min="15821" max="15821" width="1.140625" style="150" customWidth="1"/>
    <col min="15822" max="15822" width="18.7109375" style="150" customWidth="1"/>
    <col min="15823" max="15823" width="20.140625" style="150" customWidth="1"/>
    <col min="15824" max="16066" width="11.42578125" style="150"/>
    <col min="16067" max="16067" width="1.85546875" style="150" customWidth="1"/>
    <col min="16068" max="16068" width="13.5703125" style="150" customWidth="1"/>
    <col min="16069" max="16069" width="10.140625" style="150" customWidth="1"/>
    <col min="16070" max="16074" width="9.7109375" style="150" customWidth="1"/>
    <col min="16075" max="16075" width="10.42578125" style="150" customWidth="1"/>
    <col min="16076" max="16076" width="10.140625" style="150" customWidth="1"/>
    <col min="16077" max="16077" width="1.140625" style="150" customWidth="1"/>
    <col min="16078" max="16078" width="18.7109375" style="150" customWidth="1"/>
    <col min="16079" max="16079" width="20.140625" style="150" customWidth="1"/>
    <col min="16080" max="16384" width="11.42578125" style="150"/>
  </cols>
  <sheetData>
    <row r="1" spans="1:194" s="149" customFormat="1" ht="17.100000000000001" customHeight="1">
      <c r="A1" s="2340"/>
      <c r="B1" s="2341"/>
      <c r="C1" s="2342"/>
      <c r="D1" s="2349" t="s">
        <v>9</v>
      </c>
      <c r="E1" s="2350"/>
      <c r="F1" s="2350"/>
      <c r="G1" s="2350"/>
      <c r="H1" s="2350"/>
      <c r="I1" s="2350"/>
      <c r="J1" s="2350"/>
      <c r="K1" s="2351"/>
    </row>
    <row r="2" spans="1:194" ht="17.100000000000001" customHeight="1">
      <c r="A2" s="2343"/>
      <c r="B2" s="2344"/>
      <c r="C2" s="2345"/>
      <c r="D2" s="2328" t="s">
        <v>87</v>
      </c>
      <c r="E2" s="2329"/>
      <c r="F2" s="2329"/>
      <c r="G2" s="2329"/>
      <c r="H2" s="2329"/>
      <c r="I2" s="2329"/>
      <c r="J2" s="2329"/>
      <c r="K2" s="2330"/>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row>
    <row r="3" spans="1:194" ht="17.100000000000001" customHeight="1">
      <c r="A3" s="2343"/>
      <c r="B3" s="2344"/>
      <c r="C3" s="2345"/>
      <c r="D3" s="2331" t="s">
        <v>586</v>
      </c>
      <c r="E3" s="2332"/>
      <c r="F3" s="2332"/>
      <c r="G3" s="2332"/>
      <c r="H3" s="2332"/>
      <c r="I3" s="2332"/>
      <c r="J3" s="2332"/>
      <c r="K3" s="2333"/>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row>
    <row r="4" spans="1:194" ht="15" customHeight="1">
      <c r="A4" s="2343"/>
      <c r="B4" s="2344"/>
      <c r="C4" s="2345"/>
      <c r="D4" s="2334" t="s">
        <v>88</v>
      </c>
      <c r="E4" s="2335"/>
      <c r="F4" s="2336"/>
      <c r="G4" s="2334" t="s">
        <v>576</v>
      </c>
      <c r="H4" s="2335"/>
      <c r="I4" s="2335"/>
      <c r="J4" s="2335"/>
      <c r="K4" s="2336"/>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49"/>
      <c r="DQ4" s="149"/>
      <c r="DR4" s="149"/>
      <c r="DS4" s="149"/>
      <c r="DT4" s="149"/>
      <c r="DU4" s="149"/>
      <c r="DV4" s="149"/>
      <c r="DW4" s="149"/>
      <c r="DX4" s="149"/>
      <c r="DY4" s="149"/>
      <c r="DZ4" s="149"/>
      <c r="EA4" s="149"/>
      <c r="EB4" s="149"/>
      <c r="EC4" s="149"/>
      <c r="ED4" s="149"/>
      <c r="EE4" s="149"/>
      <c r="EF4" s="149"/>
      <c r="EG4" s="149"/>
      <c r="EH4" s="149"/>
      <c r="EI4" s="149"/>
      <c r="EJ4" s="149"/>
      <c r="EK4" s="149"/>
      <c r="EL4" s="149"/>
      <c r="EM4" s="149"/>
      <c r="EN4" s="149"/>
      <c r="EO4" s="149"/>
      <c r="EP4" s="149"/>
      <c r="EQ4" s="149"/>
      <c r="ER4" s="149"/>
      <c r="ES4" s="149"/>
      <c r="ET4" s="149"/>
      <c r="EU4" s="149"/>
      <c r="EV4" s="149"/>
      <c r="EW4" s="149"/>
      <c r="EX4" s="149"/>
      <c r="EY4" s="149"/>
      <c r="EZ4" s="149"/>
      <c r="FA4" s="149"/>
      <c r="FB4" s="149"/>
      <c r="FC4" s="149"/>
      <c r="FD4" s="149"/>
      <c r="FE4" s="149"/>
      <c r="FF4" s="149"/>
      <c r="FG4" s="149"/>
      <c r="FH4" s="149"/>
      <c r="FI4" s="149"/>
      <c r="FJ4" s="149"/>
      <c r="FK4" s="149"/>
      <c r="FL4" s="149"/>
      <c r="FM4" s="149"/>
      <c r="FN4" s="149"/>
      <c r="FO4" s="149"/>
      <c r="FP4" s="149"/>
      <c r="FQ4" s="149"/>
      <c r="FR4" s="149"/>
      <c r="FS4" s="149"/>
      <c r="FT4" s="149"/>
      <c r="FU4" s="149"/>
      <c r="FV4" s="149"/>
      <c r="FW4" s="149"/>
      <c r="FX4" s="149"/>
      <c r="FY4" s="149"/>
      <c r="FZ4" s="149"/>
      <c r="GA4" s="149"/>
      <c r="GB4" s="149"/>
      <c r="GC4" s="149"/>
      <c r="GD4" s="149"/>
      <c r="GE4" s="149"/>
      <c r="GF4" s="149"/>
      <c r="GG4" s="149"/>
      <c r="GH4" s="149"/>
      <c r="GI4" s="149"/>
      <c r="GJ4" s="149"/>
      <c r="GK4" s="149"/>
      <c r="GL4" s="149"/>
    </row>
    <row r="5" spans="1:194" ht="15" customHeight="1">
      <c r="A5" s="2346"/>
      <c r="B5" s="2347"/>
      <c r="C5" s="2348"/>
      <c r="D5" s="2337" t="s">
        <v>638</v>
      </c>
      <c r="E5" s="2338"/>
      <c r="F5" s="2338"/>
      <c r="G5" s="2338"/>
      <c r="H5" s="2338"/>
      <c r="I5" s="2338"/>
      <c r="J5" s="2338"/>
      <c r="K5" s="233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c r="FA5" s="149"/>
      <c r="FB5" s="149"/>
      <c r="FC5" s="149"/>
      <c r="FD5" s="149"/>
      <c r="FE5" s="149"/>
      <c r="FF5" s="149"/>
      <c r="FG5" s="149"/>
      <c r="FH5" s="149"/>
      <c r="FI5" s="149"/>
      <c r="FJ5" s="149"/>
      <c r="FK5" s="149"/>
      <c r="FL5" s="149"/>
      <c r="FM5" s="149"/>
      <c r="FN5" s="149"/>
      <c r="FO5" s="149"/>
      <c r="FP5" s="149"/>
      <c r="FQ5" s="149"/>
      <c r="FR5" s="149"/>
      <c r="FS5" s="149"/>
      <c r="FT5" s="149"/>
      <c r="FU5" s="149"/>
      <c r="FV5" s="149"/>
      <c r="FW5" s="149"/>
      <c r="FX5" s="149"/>
      <c r="FY5" s="149"/>
      <c r="FZ5" s="149"/>
      <c r="GA5" s="149"/>
      <c r="GB5" s="149"/>
      <c r="GC5" s="149"/>
      <c r="GD5" s="149"/>
      <c r="GE5" s="149"/>
      <c r="GF5" s="149"/>
      <c r="GG5" s="149"/>
      <c r="GH5" s="149"/>
      <c r="GI5" s="149"/>
      <c r="GJ5" s="149"/>
      <c r="GK5" s="149"/>
      <c r="GL5" s="149"/>
    </row>
    <row r="6" spans="1:194" s="152" customFormat="1" ht="20.100000000000001" customHeight="1">
      <c r="A6" s="809" t="s">
        <v>5</v>
      </c>
      <c r="B6" s="2312" t="str">
        <f>IF('Gradacion '!E6="","",+'Gradacion '!E6)</f>
        <v/>
      </c>
      <c r="C6" s="2312"/>
      <c r="D6" s="2312"/>
      <c r="E6" s="2312"/>
      <c r="F6" s="2312"/>
      <c r="G6" s="2362" t="s">
        <v>324</v>
      </c>
      <c r="H6" s="2362"/>
      <c r="I6" s="2362"/>
      <c r="J6" s="2362"/>
      <c r="K6" s="2365"/>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row>
    <row r="7" spans="1:194" s="152" customFormat="1" ht="20.100000000000001" customHeight="1">
      <c r="A7" s="809" t="s">
        <v>39</v>
      </c>
      <c r="B7" s="2313" t="str">
        <f>IF('Gradacion '!E7="","",+'Gradacion '!E7)</f>
        <v/>
      </c>
      <c r="C7" s="2313"/>
      <c r="D7" s="46" t="s">
        <v>18</v>
      </c>
      <c r="E7" s="2313" t="str">
        <f>IF('Gradacion '!O7="","",'Gradacion '!O7)</f>
        <v/>
      </c>
      <c r="F7" s="2313"/>
      <c r="G7" s="2363" t="s">
        <v>40</v>
      </c>
      <c r="H7" s="2363"/>
      <c r="I7" s="2366" t="str">
        <f>IF('Gradacion '!AB7="","",+'Gradacion '!AB7)</f>
        <v/>
      </c>
      <c r="J7" s="2366"/>
      <c r="K7" s="2367"/>
    </row>
    <row r="8" spans="1:194" s="152" customFormat="1" ht="20.100000000000001" customHeight="1">
      <c r="A8" s="809" t="s">
        <v>465</v>
      </c>
      <c r="B8" s="2313" t="str">
        <f>IF('Gradacion '!E8="","",+'Gradacion '!E8)</f>
        <v/>
      </c>
      <c r="C8" s="2313"/>
      <c r="D8" s="953" t="s">
        <v>19</v>
      </c>
      <c r="E8" s="2313" t="str">
        <f>IF('Gradacion '!O8="","",'Gradacion '!O8)</f>
        <v/>
      </c>
      <c r="F8" s="2313"/>
      <c r="G8" s="2363" t="s">
        <v>407</v>
      </c>
      <c r="H8" s="2363"/>
      <c r="I8" s="2368"/>
      <c r="J8" s="2368"/>
      <c r="K8" s="2369"/>
    </row>
    <row r="9" spans="1:194" s="152" customFormat="1" ht="20.100000000000001" customHeight="1">
      <c r="A9" s="810" t="s">
        <v>6</v>
      </c>
      <c r="B9" s="2325" t="str">
        <f>IF('Gradacion '!E9="","",+'Gradacion '!E9)</f>
        <v/>
      </c>
      <c r="C9" s="2325"/>
      <c r="D9" s="2325"/>
      <c r="E9" s="2325"/>
      <c r="F9" s="2325"/>
      <c r="G9" s="2364" t="s">
        <v>635</v>
      </c>
      <c r="H9" s="2364"/>
      <c r="I9" s="2370" t="str">
        <f>IF('Gradacion '!AB9="","",+'Gradacion '!AB9)</f>
        <v/>
      </c>
      <c r="J9" s="2370"/>
      <c r="K9" s="2371"/>
    </row>
    <row r="10" spans="1:194" ht="45" customHeight="1">
      <c r="A10" s="2316" t="s">
        <v>89</v>
      </c>
      <c r="B10" s="2317"/>
      <c r="C10" s="2317"/>
      <c r="D10" s="2317"/>
      <c r="E10" s="2317"/>
      <c r="F10" s="2317"/>
      <c r="G10" s="2318"/>
      <c r="H10" s="2323" t="s">
        <v>90</v>
      </c>
      <c r="I10" s="2324"/>
      <c r="J10" s="2321" t="s">
        <v>490</v>
      </c>
      <c r="K10" s="2322"/>
    </row>
    <row r="11" spans="1:194" ht="39.950000000000003" customHeight="1">
      <c r="A11" s="2319" t="s">
        <v>371</v>
      </c>
      <c r="B11" s="2320"/>
      <c r="C11" s="2320"/>
      <c r="D11" s="2320"/>
      <c r="E11" s="2320"/>
      <c r="F11" s="2320"/>
      <c r="G11" s="153" t="s">
        <v>91</v>
      </c>
      <c r="H11" s="2299"/>
      <c r="I11" s="2300"/>
      <c r="J11" s="2299"/>
      <c r="K11" s="2300"/>
    </row>
    <row r="12" spans="1:194" ht="39.950000000000003" customHeight="1">
      <c r="A12" s="2326" t="s">
        <v>514</v>
      </c>
      <c r="B12" s="2327"/>
      <c r="C12" s="2327"/>
      <c r="D12" s="2327"/>
      <c r="E12" s="2327"/>
      <c r="F12" s="2327"/>
      <c r="G12" s="153" t="s">
        <v>91</v>
      </c>
      <c r="H12" s="2299"/>
      <c r="I12" s="2300"/>
      <c r="J12" s="2314"/>
      <c r="K12" s="2315"/>
      <c r="L12" s="154"/>
    </row>
    <row r="13" spans="1:194" ht="39.950000000000003" customHeight="1">
      <c r="A13" s="2326" t="s">
        <v>515</v>
      </c>
      <c r="B13" s="2327"/>
      <c r="C13" s="2327"/>
      <c r="D13" s="2327"/>
      <c r="E13" s="2327"/>
      <c r="F13" s="2327"/>
      <c r="G13" s="153" t="s">
        <v>91</v>
      </c>
      <c r="H13" s="2301" t="str">
        <f>IF(H11="","",(H11-H12))</f>
        <v/>
      </c>
      <c r="I13" s="2302"/>
      <c r="J13" s="2301" t="str">
        <f>IF(J11="","",(J11-J12))</f>
        <v/>
      </c>
      <c r="K13" s="2302"/>
    </row>
    <row r="14" spans="1:194" ht="39.950000000000003" customHeight="1">
      <c r="A14" s="2310" t="s">
        <v>92</v>
      </c>
      <c r="B14" s="2311"/>
      <c r="C14" s="2311"/>
      <c r="D14" s="2311"/>
      <c r="E14" s="2311"/>
      <c r="F14" s="2311"/>
      <c r="G14" s="155" t="s">
        <v>93</v>
      </c>
      <c r="H14" s="2299"/>
      <c r="I14" s="2300"/>
      <c r="J14" s="2299"/>
      <c r="K14" s="2300"/>
    </row>
    <row r="15" spans="1:194" ht="39.950000000000003" customHeight="1">
      <c r="A15" s="2310" t="s">
        <v>488</v>
      </c>
      <c r="B15" s="2311"/>
      <c r="C15" s="2311"/>
      <c r="D15" s="2311"/>
      <c r="E15" s="2311"/>
      <c r="F15" s="2311"/>
      <c r="G15" s="155" t="s">
        <v>94</v>
      </c>
      <c r="H15" s="2299"/>
      <c r="I15" s="2300"/>
      <c r="J15" s="2299"/>
      <c r="K15" s="2300"/>
    </row>
    <row r="16" spans="1:194" ht="39.950000000000003" customHeight="1">
      <c r="A16" s="2308" t="s">
        <v>487</v>
      </c>
      <c r="B16" s="2309"/>
      <c r="C16" s="2309"/>
      <c r="D16" s="2309"/>
      <c r="E16" s="2309"/>
      <c r="F16" s="2309"/>
      <c r="G16" s="155" t="s">
        <v>95</v>
      </c>
      <c r="H16" s="2301" t="str">
        <f>IF(H11="","",(H13/H11*100))</f>
        <v/>
      </c>
      <c r="I16" s="2302"/>
      <c r="J16" s="2301" t="str">
        <f>IF(J11="","",(J13/J11*100))</f>
        <v/>
      </c>
      <c r="K16" s="2302"/>
    </row>
    <row r="17" spans="1:12" ht="39.950000000000003" customHeight="1">
      <c r="A17" s="2308" t="s">
        <v>489</v>
      </c>
      <c r="B17" s="2309"/>
      <c r="C17" s="2309"/>
      <c r="D17" s="2309"/>
      <c r="E17" s="2309"/>
      <c r="F17" s="2309"/>
      <c r="G17" s="155" t="s">
        <v>94</v>
      </c>
      <c r="H17" s="2303" t="str">
        <f>IF(OR(H15="",H16=""),"",((14*H15)/(H16+4)))</f>
        <v/>
      </c>
      <c r="I17" s="2304"/>
      <c r="J17" s="2303" t="str">
        <f>IF(OR(J15="",J16=""),"",((14*J15)/(J16+4)))</f>
        <v/>
      </c>
      <c r="K17" s="2304"/>
    </row>
    <row r="18" spans="1:12" ht="39.950000000000003" customHeight="1">
      <c r="A18" s="2310" t="s">
        <v>96</v>
      </c>
      <c r="B18" s="2311"/>
      <c r="C18" s="2311"/>
      <c r="D18" s="2311"/>
      <c r="E18" s="2311"/>
      <c r="F18" s="2311"/>
      <c r="G18" s="155" t="s">
        <v>95</v>
      </c>
      <c r="H18" s="2305" t="str">
        <f>IF(H17="","",(J17/H17*100))</f>
        <v/>
      </c>
      <c r="I18" s="2306"/>
      <c r="J18" s="2306"/>
      <c r="K18" s="2307"/>
    </row>
    <row r="19" spans="1:12" s="89" customFormat="1" ht="18.75" customHeight="1">
      <c r="A19" s="2360" t="s">
        <v>20</v>
      </c>
      <c r="B19" s="2361"/>
      <c r="C19" s="2355"/>
      <c r="D19" s="2355"/>
      <c r="E19" s="2355"/>
      <c r="F19" s="2355"/>
      <c r="G19" s="2355"/>
      <c r="H19" s="2355"/>
      <c r="I19" s="2355"/>
      <c r="J19" s="2355"/>
      <c r="K19" s="2356"/>
    </row>
    <row r="20" spans="1:12" s="156" customFormat="1" ht="30" customHeight="1">
      <c r="A20" s="2053"/>
      <c r="B20" s="2054"/>
      <c r="C20" s="2054"/>
      <c r="D20" s="2054"/>
      <c r="E20" s="2054"/>
      <c r="F20" s="2054"/>
      <c r="G20" s="2054"/>
      <c r="H20" s="2054"/>
      <c r="I20" s="2054"/>
      <c r="J20" s="2054"/>
      <c r="K20" s="2055"/>
    </row>
    <row r="21" spans="1:12" s="156" customFormat="1" ht="15.95" customHeight="1">
      <c r="A21" s="2357"/>
      <c r="B21" s="2358"/>
      <c r="C21" s="2359"/>
      <c r="D21" s="2353" t="s">
        <v>10</v>
      </c>
      <c r="E21" s="2354"/>
      <c r="F21" s="2352" t="s">
        <v>22</v>
      </c>
      <c r="G21" s="2353"/>
      <c r="H21" s="2354"/>
      <c r="I21" s="2352" t="s">
        <v>23</v>
      </c>
      <c r="J21" s="2353"/>
      <c r="K21" s="2354"/>
    </row>
    <row r="22" spans="1:12" s="156" customFormat="1" ht="45" customHeight="1">
      <c r="A22" s="2284" t="s">
        <v>13</v>
      </c>
      <c r="B22" s="1785"/>
      <c r="C22" s="2285"/>
      <c r="D22" s="2276"/>
      <c r="E22" s="2277"/>
      <c r="F22" s="2295"/>
      <c r="G22" s="2296"/>
      <c r="H22" s="2297"/>
      <c r="I22" s="2298"/>
      <c r="J22" s="2297"/>
      <c r="K22" s="2297"/>
    </row>
    <row r="23" spans="1:12" s="156" customFormat="1" ht="15.95" customHeight="1">
      <c r="A23" s="2284" t="s">
        <v>611</v>
      </c>
      <c r="B23" s="1785"/>
      <c r="C23" s="2285"/>
      <c r="D23" s="2278" t="s">
        <v>560</v>
      </c>
      <c r="E23" s="2279"/>
      <c r="F23" s="2282" t="s">
        <v>560</v>
      </c>
      <c r="G23" s="2278"/>
      <c r="H23" s="2279"/>
      <c r="I23" s="2292" t="s">
        <v>560</v>
      </c>
      <c r="J23" s="2293"/>
      <c r="K23" s="2294"/>
    </row>
    <row r="24" spans="1:12" s="156" customFormat="1" ht="15.95" customHeight="1" thickBot="1">
      <c r="A24" s="2286" t="s">
        <v>14</v>
      </c>
      <c r="B24" s="2287"/>
      <c r="C24" s="2288"/>
      <c r="D24" s="2280" t="str">
        <f>IF(D23="--","",VLOOKUP(D23,firmas!A2:B31,2,0))</f>
        <v/>
      </c>
      <c r="E24" s="2281"/>
      <c r="F24" s="2283" t="str">
        <f>IF(F23="--","",VLOOKUP(F23,firmas!A33:B35,2,0))</f>
        <v/>
      </c>
      <c r="G24" s="2280"/>
      <c r="H24" s="2281"/>
      <c r="I24" s="2289" t="str">
        <f>IF(I23="--","",VLOOKUP(I23,firmas!A37:B38,2))</f>
        <v/>
      </c>
      <c r="J24" s="2290"/>
      <c r="K24" s="2291"/>
    </row>
    <row r="25" spans="1:12" s="157" customFormat="1" ht="15.95" customHeight="1" thickTop="1" thickBot="1">
      <c r="A25" s="2047" t="s">
        <v>24</v>
      </c>
      <c r="B25" s="2047"/>
      <c r="C25" s="2047"/>
      <c r="D25" s="2047"/>
      <c r="E25" s="2047"/>
      <c r="F25" s="2047"/>
      <c r="G25" s="2047"/>
      <c r="H25" s="2047"/>
      <c r="I25" s="2047"/>
      <c r="J25" s="2047"/>
      <c r="K25" s="2047"/>
    </row>
    <row r="26" spans="1:12" s="156" customFormat="1" ht="21.95" customHeight="1" thickTop="1">
      <c r="A26" s="2275" t="s">
        <v>25</v>
      </c>
      <c r="B26" s="2275"/>
      <c r="C26" s="2275"/>
      <c r="D26" s="2275"/>
      <c r="E26" s="2275"/>
      <c r="F26" s="2275"/>
      <c r="G26" s="2275"/>
      <c r="H26" s="2275"/>
      <c r="I26" s="2275"/>
      <c r="J26" s="2275"/>
      <c r="K26" s="2275"/>
    </row>
    <row r="27" spans="1:12" s="156" customFormat="1" ht="32.1" customHeight="1">
      <c r="A27" s="2274" t="s">
        <v>16</v>
      </c>
      <c r="B27" s="2274"/>
      <c r="C27" s="2274"/>
      <c r="D27" s="2274"/>
      <c r="E27" s="2274"/>
      <c r="F27" s="2274"/>
      <c r="G27" s="2274"/>
      <c r="H27" s="2274"/>
      <c r="I27" s="2274"/>
      <c r="J27" s="2274"/>
      <c r="K27" s="2274"/>
      <c r="L27" s="156" t="s">
        <v>475</v>
      </c>
    </row>
  </sheetData>
  <sheetProtection algorithmName="SHA-512" hashValue="0KNrs6kR717NinOnlWUtjiFRwgdWA9pnHduOz7nhZeqOvhYnPxisTCpXdl62Gk2kNqkaymUTCVfAaYJm+aoSuA==" saltValue="EnSii8k/MfzRknqQG/pjsg==" spinCount="100000" sheet="1" objects="1" scenarios="1"/>
  <mergeCells count="69">
    <mergeCell ref="G6:H6"/>
    <mergeCell ref="G7:H7"/>
    <mergeCell ref="G8:H8"/>
    <mergeCell ref="G9:H9"/>
    <mergeCell ref="I6:K6"/>
    <mergeCell ref="I7:K7"/>
    <mergeCell ref="I8:K8"/>
    <mergeCell ref="I9:K9"/>
    <mergeCell ref="J14:K14"/>
    <mergeCell ref="J15:K15"/>
    <mergeCell ref="H12:I12"/>
    <mergeCell ref="H13:I13"/>
    <mergeCell ref="F21:H21"/>
    <mergeCell ref="J16:K16"/>
    <mergeCell ref="A15:F15"/>
    <mergeCell ref="A14:F14"/>
    <mergeCell ref="C19:K19"/>
    <mergeCell ref="I21:K21"/>
    <mergeCell ref="H14:I14"/>
    <mergeCell ref="A21:C21"/>
    <mergeCell ref="J17:K17"/>
    <mergeCell ref="A19:B19"/>
    <mergeCell ref="A20:K20"/>
    <mergeCell ref="D21:E21"/>
    <mergeCell ref="D2:K2"/>
    <mergeCell ref="D3:K3"/>
    <mergeCell ref="D4:F4"/>
    <mergeCell ref="D5:K5"/>
    <mergeCell ref="A1:C5"/>
    <mergeCell ref="D1:K1"/>
    <mergeCell ref="G4:K4"/>
    <mergeCell ref="B6:F6"/>
    <mergeCell ref="E8:F8"/>
    <mergeCell ref="B8:C8"/>
    <mergeCell ref="J12:K12"/>
    <mergeCell ref="J13:K13"/>
    <mergeCell ref="A10:G10"/>
    <mergeCell ref="A11:F11"/>
    <mergeCell ref="H11:I11"/>
    <mergeCell ref="J10:K10"/>
    <mergeCell ref="H10:I10"/>
    <mergeCell ref="J11:K11"/>
    <mergeCell ref="B7:C7"/>
    <mergeCell ref="B9:F9"/>
    <mergeCell ref="E7:F7"/>
    <mergeCell ref="A13:F13"/>
    <mergeCell ref="A12:F12"/>
    <mergeCell ref="H15:I15"/>
    <mergeCell ref="H16:I16"/>
    <mergeCell ref="H17:I17"/>
    <mergeCell ref="H18:K18"/>
    <mergeCell ref="A16:F16"/>
    <mergeCell ref="A17:F17"/>
    <mergeCell ref="A18:F18"/>
    <mergeCell ref="A27:K27"/>
    <mergeCell ref="A25:K25"/>
    <mergeCell ref="A26:K26"/>
    <mergeCell ref="D22:E22"/>
    <mergeCell ref="D23:E23"/>
    <mergeCell ref="D24:E24"/>
    <mergeCell ref="F23:H23"/>
    <mergeCell ref="F24:H24"/>
    <mergeCell ref="A22:C22"/>
    <mergeCell ref="A23:C23"/>
    <mergeCell ref="A24:C24"/>
    <mergeCell ref="I24:K24"/>
    <mergeCell ref="I23:K23"/>
    <mergeCell ref="F22:H22"/>
    <mergeCell ref="I22:K22"/>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www.umv.gov.co111311&amp;C&amp;6PRO-FM-021
Página 1 de 1</oddFooter>
  </headerFooter>
  <ignoredErrors>
    <ignoredError sqref="J24:K24"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I23:K23</xm:sqref>
        </x14:dataValidation>
        <x14:dataValidation type="list" allowBlank="1" showInputMessage="1" showErrorMessage="1">
          <x14:formula1>
            <xm:f>firmas!$A$2:$A$31</xm:f>
          </x14:formula1>
          <xm:sqref>D23:E23</xm:sqref>
        </x14:dataValidation>
        <x14:dataValidation type="list" allowBlank="1" showInputMessage="1" showErrorMessage="1">
          <x14:formula1>
            <xm:f>firmas!$A$33:$A$35</xm:f>
          </x14:formula1>
          <xm:sqref>F23:H23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U39"/>
  <sheetViews>
    <sheetView showGridLines="0" view="pageBreakPreview" topLeftCell="A19" zoomScaleSheetLayoutView="100" workbookViewId="0">
      <selection activeCell="B35" sqref="B35:K35"/>
    </sheetView>
  </sheetViews>
  <sheetFormatPr baseColWidth="10" defaultColWidth="9.140625" defaultRowHeight="12.75"/>
  <cols>
    <col min="1" max="1" width="5.7109375" style="1297" customWidth="1"/>
    <col min="2" max="2" width="9.7109375" style="1297" customWidth="1"/>
    <col min="3" max="6" width="8.7109375" style="1297" customWidth="1"/>
    <col min="7" max="7" width="11" style="1297" customWidth="1"/>
    <col min="8" max="11" width="8.7109375" style="1297" customWidth="1"/>
    <col min="12" max="12" width="9.140625" style="1297"/>
    <col min="13" max="17" width="10.42578125" style="1297" customWidth="1"/>
    <col min="18" max="256" width="9.140625" style="1297"/>
    <col min="257" max="257" width="5.7109375" style="1297" customWidth="1"/>
    <col min="258" max="258" width="9.7109375" style="1297" customWidth="1"/>
    <col min="259" max="267" width="8.7109375" style="1297" customWidth="1"/>
    <col min="268" max="268" width="9.140625" style="1297"/>
    <col min="269" max="273" width="10.42578125" style="1297" customWidth="1"/>
    <col min="274" max="512" width="9.140625" style="1297"/>
    <col min="513" max="513" width="5.7109375" style="1297" customWidth="1"/>
    <col min="514" max="514" width="9.7109375" style="1297" customWidth="1"/>
    <col min="515" max="523" width="8.7109375" style="1297" customWidth="1"/>
    <col min="524" max="524" width="9.140625" style="1297"/>
    <col min="525" max="529" width="10.42578125" style="1297" customWidth="1"/>
    <col min="530" max="768" width="9.140625" style="1297"/>
    <col min="769" max="769" width="5.7109375" style="1297" customWidth="1"/>
    <col min="770" max="770" width="9.7109375" style="1297" customWidth="1"/>
    <col min="771" max="779" width="8.7109375" style="1297" customWidth="1"/>
    <col min="780" max="780" width="9.140625" style="1297"/>
    <col min="781" max="785" width="10.42578125" style="1297" customWidth="1"/>
    <col min="786" max="1024" width="9.140625" style="1297"/>
    <col min="1025" max="1025" width="5.7109375" style="1297" customWidth="1"/>
    <col min="1026" max="1026" width="9.7109375" style="1297" customWidth="1"/>
    <col min="1027" max="1035" width="8.7109375" style="1297" customWidth="1"/>
    <col min="1036" max="1036" width="9.140625" style="1297"/>
    <col min="1037" max="1041" width="10.42578125" style="1297" customWidth="1"/>
    <col min="1042" max="1280" width="9.140625" style="1297"/>
    <col min="1281" max="1281" width="5.7109375" style="1297" customWidth="1"/>
    <col min="1282" max="1282" width="9.7109375" style="1297" customWidth="1"/>
    <col min="1283" max="1291" width="8.7109375" style="1297" customWidth="1"/>
    <col min="1292" max="1292" width="9.140625" style="1297"/>
    <col min="1293" max="1297" width="10.42578125" style="1297" customWidth="1"/>
    <col min="1298" max="1536" width="9.140625" style="1297"/>
    <col min="1537" max="1537" width="5.7109375" style="1297" customWidth="1"/>
    <col min="1538" max="1538" width="9.7109375" style="1297" customWidth="1"/>
    <col min="1539" max="1547" width="8.7109375" style="1297" customWidth="1"/>
    <col min="1548" max="1548" width="9.140625" style="1297"/>
    <col min="1549" max="1553" width="10.42578125" style="1297" customWidth="1"/>
    <col min="1554" max="1792" width="9.140625" style="1297"/>
    <col min="1793" max="1793" width="5.7109375" style="1297" customWidth="1"/>
    <col min="1794" max="1794" width="9.7109375" style="1297" customWidth="1"/>
    <col min="1795" max="1803" width="8.7109375" style="1297" customWidth="1"/>
    <col min="1804" max="1804" width="9.140625" style="1297"/>
    <col min="1805" max="1809" width="10.42578125" style="1297" customWidth="1"/>
    <col min="1810" max="2048" width="9.140625" style="1297"/>
    <col min="2049" max="2049" width="5.7109375" style="1297" customWidth="1"/>
    <col min="2050" max="2050" width="9.7109375" style="1297" customWidth="1"/>
    <col min="2051" max="2059" width="8.7109375" style="1297" customWidth="1"/>
    <col min="2060" max="2060" width="9.140625" style="1297"/>
    <col min="2061" max="2065" width="10.42578125" style="1297" customWidth="1"/>
    <col min="2066" max="2304" width="9.140625" style="1297"/>
    <col min="2305" max="2305" width="5.7109375" style="1297" customWidth="1"/>
    <col min="2306" max="2306" width="9.7109375" style="1297" customWidth="1"/>
    <col min="2307" max="2315" width="8.7109375" style="1297" customWidth="1"/>
    <col min="2316" max="2316" width="9.140625" style="1297"/>
    <col min="2317" max="2321" width="10.42578125" style="1297" customWidth="1"/>
    <col min="2322" max="2560" width="9.140625" style="1297"/>
    <col min="2561" max="2561" width="5.7109375" style="1297" customWidth="1"/>
    <col min="2562" max="2562" width="9.7109375" style="1297" customWidth="1"/>
    <col min="2563" max="2571" width="8.7109375" style="1297" customWidth="1"/>
    <col min="2572" max="2572" width="9.140625" style="1297"/>
    <col min="2573" max="2577" width="10.42578125" style="1297" customWidth="1"/>
    <col min="2578" max="2816" width="9.140625" style="1297"/>
    <col min="2817" max="2817" width="5.7109375" style="1297" customWidth="1"/>
    <col min="2818" max="2818" width="9.7109375" style="1297" customWidth="1"/>
    <col min="2819" max="2827" width="8.7109375" style="1297" customWidth="1"/>
    <col min="2828" max="2828" width="9.140625" style="1297"/>
    <col min="2829" max="2833" width="10.42578125" style="1297" customWidth="1"/>
    <col min="2834" max="3072" width="9.140625" style="1297"/>
    <col min="3073" max="3073" width="5.7109375" style="1297" customWidth="1"/>
    <col min="3074" max="3074" width="9.7109375" style="1297" customWidth="1"/>
    <col min="3075" max="3083" width="8.7109375" style="1297" customWidth="1"/>
    <col min="3084" max="3084" width="9.140625" style="1297"/>
    <col min="3085" max="3089" width="10.42578125" style="1297" customWidth="1"/>
    <col min="3090" max="3328" width="9.140625" style="1297"/>
    <col min="3329" max="3329" width="5.7109375" style="1297" customWidth="1"/>
    <col min="3330" max="3330" width="9.7109375" style="1297" customWidth="1"/>
    <col min="3331" max="3339" width="8.7109375" style="1297" customWidth="1"/>
    <col min="3340" max="3340" width="9.140625" style="1297"/>
    <col min="3341" max="3345" width="10.42578125" style="1297" customWidth="1"/>
    <col min="3346" max="3584" width="9.140625" style="1297"/>
    <col min="3585" max="3585" width="5.7109375" style="1297" customWidth="1"/>
    <col min="3586" max="3586" width="9.7109375" style="1297" customWidth="1"/>
    <col min="3587" max="3595" width="8.7109375" style="1297" customWidth="1"/>
    <col min="3596" max="3596" width="9.140625" style="1297"/>
    <col min="3597" max="3601" width="10.42578125" style="1297" customWidth="1"/>
    <col min="3602" max="3840" width="9.140625" style="1297"/>
    <col min="3841" max="3841" width="5.7109375" style="1297" customWidth="1"/>
    <col min="3842" max="3842" width="9.7109375" style="1297" customWidth="1"/>
    <col min="3843" max="3851" width="8.7109375" style="1297" customWidth="1"/>
    <col min="3852" max="3852" width="9.140625" style="1297"/>
    <col min="3853" max="3857" width="10.42578125" style="1297" customWidth="1"/>
    <col min="3858" max="4096" width="9.140625" style="1297"/>
    <col min="4097" max="4097" width="5.7109375" style="1297" customWidth="1"/>
    <col min="4098" max="4098" width="9.7109375" style="1297" customWidth="1"/>
    <col min="4099" max="4107" width="8.7109375" style="1297" customWidth="1"/>
    <col min="4108" max="4108" width="9.140625" style="1297"/>
    <col min="4109" max="4113" width="10.42578125" style="1297" customWidth="1"/>
    <col min="4114" max="4352" width="9.140625" style="1297"/>
    <col min="4353" max="4353" width="5.7109375" style="1297" customWidth="1"/>
    <col min="4354" max="4354" width="9.7109375" style="1297" customWidth="1"/>
    <col min="4355" max="4363" width="8.7109375" style="1297" customWidth="1"/>
    <col min="4364" max="4364" width="9.140625" style="1297"/>
    <col min="4365" max="4369" width="10.42578125" style="1297" customWidth="1"/>
    <col min="4370" max="4608" width="9.140625" style="1297"/>
    <col min="4609" max="4609" width="5.7109375" style="1297" customWidth="1"/>
    <col min="4610" max="4610" width="9.7109375" style="1297" customWidth="1"/>
    <col min="4611" max="4619" width="8.7109375" style="1297" customWidth="1"/>
    <col min="4620" max="4620" width="9.140625" style="1297"/>
    <col min="4621" max="4625" width="10.42578125" style="1297" customWidth="1"/>
    <col min="4626" max="4864" width="9.140625" style="1297"/>
    <col min="4865" max="4865" width="5.7109375" style="1297" customWidth="1"/>
    <col min="4866" max="4866" width="9.7109375" style="1297" customWidth="1"/>
    <col min="4867" max="4875" width="8.7109375" style="1297" customWidth="1"/>
    <col min="4876" max="4876" width="9.140625" style="1297"/>
    <col min="4877" max="4881" width="10.42578125" style="1297" customWidth="1"/>
    <col min="4882" max="5120" width="9.140625" style="1297"/>
    <col min="5121" max="5121" width="5.7109375" style="1297" customWidth="1"/>
    <col min="5122" max="5122" width="9.7109375" style="1297" customWidth="1"/>
    <col min="5123" max="5131" width="8.7109375" style="1297" customWidth="1"/>
    <col min="5132" max="5132" width="9.140625" style="1297"/>
    <col min="5133" max="5137" width="10.42578125" style="1297" customWidth="1"/>
    <col min="5138" max="5376" width="9.140625" style="1297"/>
    <col min="5377" max="5377" width="5.7109375" style="1297" customWidth="1"/>
    <col min="5378" max="5378" width="9.7109375" style="1297" customWidth="1"/>
    <col min="5379" max="5387" width="8.7109375" style="1297" customWidth="1"/>
    <col min="5388" max="5388" width="9.140625" style="1297"/>
    <col min="5389" max="5393" width="10.42578125" style="1297" customWidth="1"/>
    <col min="5394" max="5632" width="9.140625" style="1297"/>
    <col min="5633" max="5633" width="5.7109375" style="1297" customWidth="1"/>
    <col min="5634" max="5634" width="9.7109375" style="1297" customWidth="1"/>
    <col min="5635" max="5643" width="8.7109375" style="1297" customWidth="1"/>
    <col min="5644" max="5644" width="9.140625" style="1297"/>
    <col min="5645" max="5649" width="10.42578125" style="1297" customWidth="1"/>
    <col min="5650" max="5888" width="9.140625" style="1297"/>
    <col min="5889" max="5889" width="5.7109375" style="1297" customWidth="1"/>
    <col min="5890" max="5890" width="9.7109375" style="1297" customWidth="1"/>
    <col min="5891" max="5899" width="8.7109375" style="1297" customWidth="1"/>
    <col min="5900" max="5900" width="9.140625" style="1297"/>
    <col min="5901" max="5905" width="10.42578125" style="1297" customWidth="1"/>
    <col min="5906" max="6144" width="9.140625" style="1297"/>
    <col min="6145" max="6145" width="5.7109375" style="1297" customWidth="1"/>
    <col min="6146" max="6146" width="9.7109375" style="1297" customWidth="1"/>
    <col min="6147" max="6155" width="8.7109375" style="1297" customWidth="1"/>
    <col min="6156" max="6156" width="9.140625" style="1297"/>
    <col min="6157" max="6161" width="10.42578125" style="1297" customWidth="1"/>
    <col min="6162" max="6400" width="9.140625" style="1297"/>
    <col min="6401" max="6401" width="5.7109375" style="1297" customWidth="1"/>
    <col min="6402" max="6402" width="9.7109375" style="1297" customWidth="1"/>
    <col min="6403" max="6411" width="8.7109375" style="1297" customWidth="1"/>
    <col min="6412" max="6412" width="9.140625" style="1297"/>
    <col min="6413" max="6417" width="10.42578125" style="1297" customWidth="1"/>
    <col min="6418" max="6656" width="9.140625" style="1297"/>
    <col min="6657" max="6657" width="5.7109375" style="1297" customWidth="1"/>
    <col min="6658" max="6658" width="9.7109375" style="1297" customWidth="1"/>
    <col min="6659" max="6667" width="8.7109375" style="1297" customWidth="1"/>
    <col min="6668" max="6668" width="9.140625" style="1297"/>
    <col min="6669" max="6673" width="10.42578125" style="1297" customWidth="1"/>
    <col min="6674" max="6912" width="9.140625" style="1297"/>
    <col min="6913" max="6913" width="5.7109375" style="1297" customWidth="1"/>
    <col min="6914" max="6914" width="9.7109375" style="1297" customWidth="1"/>
    <col min="6915" max="6923" width="8.7109375" style="1297" customWidth="1"/>
    <col min="6924" max="6924" width="9.140625" style="1297"/>
    <col min="6925" max="6929" width="10.42578125" style="1297" customWidth="1"/>
    <col min="6930" max="7168" width="9.140625" style="1297"/>
    <col min="7169" max="7169" width="5.7109375" style="1297" customWidth="1"/>
    <col min="7170" max="7170" width="9.7109375" style="1297" customWidth="1"/>
    <col min="7171" max="7179" width="8.7109375" style="1297" customWidth="1"/>
    <col min="7180" max="7180" width="9.140625" style="1297"/>
    <col min="7181" max="7185" width="10.42578125" style="1297" customWidth="1"/>
    <col min="7186" max="7424" width="9.140625" style="1297"/>
    <col min="7425" max="7425" width="5.7109375" style="1297" customWidth="1"/>
    <col min="7426" max="7426" width="9.7109375" style="1297" customWidth="1"/>
    <col min="7427" max="7435" width="8.7109375" style="1297" customWidth="1"/>
    <col min="7436" max="7436" width="9.140625" style="1297"/>
    <col min="7437" max="7441" width="10.42578125" style="1297" customWidth="1"/>
    <col min="7442" max="7680" width="9.140625" style="1297"/>
    <col min="7681" max="7681" width="5.7109375" style="1297" customWidth="1"/>
    <col min="7682" max="7682" width="9.7109375" style="1297" customWidth="1"/>
    <col min="7683" max="7691" width="8.7109375" style="1297" customWidth="1"/>
    <col min="7692" max="7692" width="9.140625" style="1297"/>
    <col min="7693" max="7697" width="10.42578125" style="1297" customWidth="1"/>
    <col min="7698" max="7936" width="9.140625" style="1297"/>
    <col min="7937" max="7937" width="5.7109375" style="1297" customWidth="1"/>
    <col min="7938" max="7938" width="9.7109375" style="1297" customWidth="1"/>
    <col min="7939" max="7947" width="8.7109375" style="1297" customWidth="1"/>
    <col min="7948" max="7948" width="9.140625" style="1297"/>
    <col min="7949" max="7953" width="10.42578125" style="1297" customWidth="1"/>
    <col min="7954" max="8192" width="9.140625" style="1297"/>
    <col min="8193" max="8193" width="5.7109375" style="1297" customWidth="1"/>
    <col min="8194" max="8194" width="9.7109375" style="1297" customWidth="1"/>
    <col min="8195" max="8203" width="8.7109375" style="1297" customWidth="1"/>
    <col min="8204" max="8204" width="9.140625" style="1297"/>
    <col min="8205" max="8209" width="10.42578125" style="1297" customWidth="1"/>
    <col min="8210" max="8448" width="9.140625" style="1297"/>
    <col min="8449" max="8449" width="5.7109375" style="1297" customWidth="1"/>
    <col min="8450" max="8450" width="9.7109375" style="1297" customWidth="1"/>
    <col min="8451" max="8459" width="8.7109375" style="1297" customWidth="1"/>
    <col min="8460" max="8460" width="9.140625" style="1297"/>
    <col min="8461" max="8465" width="10.42578125" style="1297" customWidth="1"/>
    <col min="8466" max="8704" width="9.140625" style="1297"/>
    <col min="8705" max="8705" width="5.7109375" style="1297" customWidth="1"/>
    <col min="8706" max="8706" width="9.7109375" style="1297" customWidth="1"/>
    <col min="8707" max="8715" width="8.7109375" style="1297" customWidth="1"/>
    <col min="8716" max="8716" width="9.140625" style="1297"/>
    <col min="8717" max="8721" width="10.42578125" style="1297" customWidth="1"/>
    <col min="8722" max="8960" width="9.140625" style="1297"/>
    <col min="8961" max="8961" width="5.7109375" style="1297" customWidth="1"/>
    <col min="8962" max="8962" width="9.7109375" style="1297" customWidth="1"/>
    <col min="8963" max="8971" width="8.7109375" style="1297" customWidth="1"/>
    <col min="8972" max="8972" width="9.140625" style="1297"/>
    <col min="8973" max="8977" width="10.42578125" style="1297" customWidth="1"/>
    <col min="8978" max="9216" width="9.140625" style="1297"/>
    <col min="9217" max="9217" width="5.7109375" style="1297" customWidth="1"/>
    <col min="9218" max="9218" width="9.7109375" style="1297" customWidth="1"/>
    <col min="9219" max="9227" width="8.7109375" style="1297" customWidth="1"/>
    <col min="9228" max="9228" width="9.140625" style="1297"/>
    <col min="9229" max="9233" width="10.42578125" style="1297" customWidth="1"/>
    <col min="9234" max="9472" width="9.140625" style="1297"/>
    <col min="9473" max="9473" width="5.7109375" style="1297" customWidth="1"/>
    <col min="9474" max="9474" width="9.7109375" style="1297" customWidth="1"/>
    <col min="9475" max="9483" width="8.7109375" style="1297" customWidth="1"/>
    <col min="9484" max="9484" width="9.140625" style="1297"/>
    <col min="9485" max="9489" width="10.42578125" style="1297" customWidth="1"/>
    <col min="9490" max="9728" width="9.140625" style="1297"/>
    <col min="9729" max="9729" width="5.7109375" style="1297" customWidth="1"/>
    <col min="9730" max="9730" width="9.7109375" style="1297" customWidth="1"/>
    <col min="9731" max="9739" width="8.7109375" style="1297" customWidth="1"/>
    <col min="9740" max="9740" width="9.140625" style="1297"/>
    <col min="9741" max="9745" width="10.42578125" style="1297" customWidth="1"/>
    <col min="9746" max="9984" width="9.140625" style="1297"/>
    <col min="9985" max="9985" width="5.7109375" style="1297" customWidth="1"/>
    <col min="9986" max="9986" width="9.7109375" style="1297" customWidth="1"/>
    <col min="9987" max="9995" width="8.7109375" style="1297" customWidth="1"/>
    <col min="9996" max="9996" width="9.140625" style="1297"/>
    <col min="9997" max="10001" width="10.42578125" style="1297" customWidth="1"/>
    <col min="10002" max="10240" width="9.140625" style="1297"/>
    <col min="10241" max="10241" width="5.7109375" style="1297" customWidth="1"/>
    <col min="10242" max="10242" width="9.7109375" style="1297" customWidth="1"/>
    <col min="10243" max="10251" width="8.7109375" style="1297" customWidth="1"/>
    <col min="10252" max="10252" width="9.140625" style="1297"/>
    <col min="10253" max="10257" width="10.42578125" style="1297" customWidth="1"/>
    <col min="10258" max="10496" width="9.140625" style="1297"/>
    <col min="10497" max="10497" width="5.7109375" style="1297" customWidth="1"/>
    <col min="10498" max="10498" width="9.7109375" style="1297" customWidth="1"/>
    <col min="10499" max="10507" width="8.7109375" style="1297" customWidth="1"/>
    <col min="10508" max="10508" width="9.140625" style="1297"/>
    <col min="10509" max="10513" width="10.42578125" style="1297" customWidth="1"/>
    <col min="10514" max="10752" width="9.140625" style="1297"/>
    <col min="10753" max="10753" width="5.7109375" style="1297" customWidth="1"/>
    <col min="10754" max="10754" width="9.7109375" style="1297" customWidth="1"/>
    <col min="10755" max="10763" width="8.7109375" style="1297" customWidth="1"/>
    <col min="10764" max="10764" width="9.140625" style="1297"/>
    <col min="10765" max="10769" width="10.42578125" style="1297" customWidth="1"/>
    <col min="10770" max="11008" width="9.140625" style="1297"/>
    <col min="11009" max="11009" width="5.7109375" style="1297" customWidth="1"/>
    <col min="11010" max="11010" width="9.7109375" style="1297" customWidth="1"/>
    <col min="11011" max="11019" width="8.7109375" style="1297" customWidth="1"/>
    <col min="11020" max="11020" width="9.140625" style="1297"/>
    <col min="11021" max="11025" width="10.42578125" style="1297" customWidth="1"/>
    <col min="11026" max="11264" width="9.140625" style="1297"/>
    <col min="11265" max="11265" width="5.7109375" style="1297" customWidth="1"/>
    <col min="11266" max="11266" width="9.7109375" style="1297" customWidth="1"/>
    <col min="11267" max="11275" width="8.7109375" style="1297" customWidth="1"/>
    <col min="11276" max="11276" width="9.140625" style="1297"/>
    <col min="11277" max="11281" width="10.42578125" style="1297" customWidth="1"/>
    <col min="11282" max="11520" width="9.140625" style="1297"/>
    <col min="11521" max="11521" width="5.7109375" style="1297" customWidth="1"/>
    <col min="11522" max="11522" width="9.7109375" style="1297" customWidth="1"/>
    <col min="11523" max="11531" width="8.7109375" style="1297" customWidth="1"/>
    <col min="11532" max="11532" width="9.140625" style="1297"/>
    <col min="11533" max="11537" width="10.42578125" style="1297" customWidth="1"/>
    <col min="11538" max="11776" width="9.140625" style="1297"/>
    <col min="11777" max="11777" width="5.7109375" style="1297" customWidth="1"/>
    <col min="11778" max="11778" width="9.7109375" style="1297" customWidth="1"/>
    <col min="11779" max="11787" width="8.7109375" style="1297" customWidth="1"/>
    <col min="11788" max="11788" width="9.140625" style="1297"/>
    <col min="11789" max="11793" width="10.42578125" style="1297" customWidth="1"/>
    <col min="11794" max="12032" width="9.140625" style="1297"/>
    <col min="12033" max="12033" width="5.7109375" style="1297" customWidth="1"/>
    <col min="12034" max="12034" width="9.7109375" style="1297" customWidth="1"/>
    <col min="12035" max="12043" width="8.7109375" style="1297" customWidth="1"/>
    <col min="12044" max="12044" width="9.140625" style="1297"/>
    <col min="12045" max="12049" width="10.42578125" style="1297" customWidth="1"/>
    <col min="12050" max="12288" width="9.140625" style="1297"/>
    <col min="12289" max="12289" width="5.7109375" style="1297" customWidth="1"/>
    <col min="12290" max="12290" width="9.7109375" style="1297" customWidth="1"/>
    <col min="12291" max="12299" width="8.7109375" style="1297" customWidth="1"/>
    <col min="12300" max="12300" width="9.140625" style="1297"/>
    <col min="12301" max="12305" width="10.42578125" style="1297" customWidth="1"/>
    <col min="12306" max="12544" width="9.140625" style="1297"/>
    <col min="12545" max="12545" width="5.7109375" style="1297" customWidth="1"/>
    <col min="12546" max="12546" width="9.7109375" style="1297" customWidth="1"/>
    <col min="12547" max="12555" width="8.7109375" style="1297" customWidth="1"/>
    <col min="12556" max="12556" width="9.140625" style="1297"/>
    <col min="12557" max="12561" width="10.42578125" style="1297" customWidth="1"/>
    <col min="12562" max="12800" width="9.140625" style="1297"/>
    <col min="12801" max="12801" width="5.7109375" style="1297" customWidth="1"/>
    <col min="12802" max="12802" width="9.7109375" style="1297" customWidth="1"/>
    <col min="12803" max="12811" width="8.7109375" style="1297" customWidth="1"/>
    <col min="12812" max="12812" width="9.140625" style="1297"/>
    <col min="12813" max="12817" width="10.42578125" style="1297" customWidth="1"/>
    <col min="12818" max="13056" width="9.140625" style="1297"/>
    <col min="13057" max="13057" width="5.7109375" style="1297" customWidth="1"/>
    <col min="13058" max="13058" width="9.7109375" style="1297" customWidth="1"/>
    <col min="13059" max="13067" width="8.7109375" style="1297" customWidth="1"/>
    <col min="13068" max="13068" width="9.140625" style="1297"/>
    <col min="13069" max="13073" width="10.42578125" style="1297" customWidth="1"/>
    <col min="13074" max="13312" width="9.140625" style="1297"/>
    <col min="13313" max="13313" width="5.7109375" style="1297" customWidth="1"/>
    <col min="13314" max="13314" width="9.7109375" style="1297" customWidth="1"/>
    <col min="13315" max="13323" width="8.7109375" style="1297" customWidth="1"/>
    <col min="13324" max="13324" width="9.140625" style="1297"/>
    <col min="13325" max="13329" width="10.42578125" style="1297" customWidth="1"/>
    <col min="13330" max="13568" width="9.140625" style="1297"/>
    <col min="13569" max="13569" width="5.7109375" style="1297" customWidth="1"/>
    <col min="13570" max="13570" width="9.7109375" style="1297" customWidth="1"/>
    <col min="13571" max="13579" width="8.7109375" style="1297" customWidth="1"/>
    <col min="13580" max="13580" width="9.140625" style="1297"/>
    <col min="13581" max="13585" width="10.42578125" style="1297" customWidth="1"/>
    <col min="13586" max="13824" width="9.140625" style="1297"/>
    <col min="13825" max="13825" width="5.7109375" style="1297" customWidth="1"/>
    <col min="13826" max="13826" width="9.7109375" style="1297" customWidth="1"/>
    <col min="13827" max="13835" width="8.7109375" style="1297" customWidth="1"/>
    <col min="13836" max="13836" width="9.140625" style="1297"/>
    <col min="13837" max="13841" width="10.42578125" style="1297" customWidth="1"/>
    <col min="13842" max="14080" width="9.140625" style="1297"/>
    <col min="14081" max="14081" width="5.7109375" style="1297" customWidth="1"/>
    <col min="14082" max="14082" width="9.7109375" style="1297" customWidth="1"/>
    <col min="14083" max="14091" width="8.7109375" style="1297" customWidth="1"/>
    <col min="14092" max="14092" width="9.140625" style="1297"/>
    <col min="14093" max="14097" width="10.42578125" style="1297" customWidth="1"/>
    <col min="14098" max="14336" width="9.140625" style="1297"/>
    <col min="14337" max="14337" width="5.7109375" style="1297" customWidth="1"/>
    <col min="14338" max="14338" width="9.7109375" style="1297" customWidth="1"/>
    <col min="14339" max="14347" width="8.7109375" style="1297" customWidth="1"/>
    <col min="14348" max="14348" width="9.140625" style="1297"/>
    <col min="14349" max="14353" width="10.42578125" style="1297" customWidth="1"/>
    <col min="14354" max="14592" width="9.140625" style="1297"/>
    <col min="14593" max="14593" width="5.7109375" style="1297" customWidth="1"/>
    <col min="14594" max="14594" width="9.7109375" style="1297" customWidth="1"/>
    <col min="14595" max="14603" width="8.7109375" style="1297" customWidth="1"/>
    <col min="14604" max="14604" width="9.140625" style="1297"/>
    <col min="14605" max="14609" width="10.42578125" style="1297" customWidth="1"/>
    <col min="14610" max="14848" width="9.140625" style="1297"/>
    <col min="14849" max="14849" width="5.7109375" style="1297" customWidth="1"/>
    <col min="14850" max="14850" width="9.7109375" style="1297" customWidth="1"/>
    <col min="14851" max="14859" width="8.7109375" style="1297" customWidth="1"/>
    <col min="14860" max="14860" width="9.140625" style="1297"/>
    <col min="14861" max="14865" width="10.42578125" style="1297" customWidth="1"/>
    <col min="14866" max="15104" width="9.140625" style="1297"/>
    <col min="15105" max="15105" width="5.7109375" style="1297" customWidth="1"/>
    <col min="15106" max="15106" width="9.7109375" style="1297" customWidth="1"/>
    <col min="15107" max="15115" width="8.7109375" style="1297" customWidth="1"/>
    <col min="15116" max="15116" width="9.140625" style="1297"/>
    <col min="15117" max="15121" width="10.42578125" style="1297" customWidth="1"/>
    <col min="15122" max="15360" width="9.140625" style="1297"/>
    <col min="15361" max="15361" width="5.7109375" style="1297" customWidth="1"/>
    <col min="15362" max="15362" width="9.7109375" style="1297" customWidth="1"/>
    <col min="15363" max="15371" width="8.7109375" style="1297" customWidth="1"/>
    <col min="15372" max="15372" width="9.140625" style="1297"/>
    <col min="15373" max="15377" width="10.42578125" style="1297" customWidth="1"/>
    <col min="15378" max="15616" width="9.140625" style="1297"/>
    <col min="15617" max="15617" width="5.7109375" style="1297" customWidth="1"/>
    <col min="15618" max="15618" width="9.7109375" style="1297" customWidth="1"/>
    <col min="15619" max="15627" width="8.7109375" style="1297" customWidth="1"/>
    <col min="15628" max="15628" width="9.140625" style="1297"/>
    <col min="15629" max="15633" width="10.42578125" style="1297" customWidth="1"/>
    <col min="15634" max="15872" width="9.140625" style="1297"/>
    <col min="15873" max="15873" width="5.7109375" style="1297" customWidth="1"/>
    <col min="15874" max="15874" width="9.7109375" style="1297" customWidth="1"/>
    <col min="15875" max="15883" width="8.7109375" style="1297" customWidth="1"/>
    <col min="15884" max="15884" width="9.140625" style="1297"/>
    <col min="15885" max="15889" width="10.42578125" style="1297" customWidth="1"/>
    <col min="15890" max="16128" width="9.140625" style="1297"/>
    <col min="16129" max="16129" width="5.7109375" style="1297" customWidth="1"/>
    <col min="16130" max="16130" width="9.7109375" style="1297" customWidth="1"/>
    <col min="16131" max="16139" width="8.7109375" style="1297" customWidth="1"/>
    <col min="16140" max="16140" width="9.140625" style="1297"/>
    <col min="16141" max="16145" width="10.42578125" style="1297" customWidth="1"/>
    <col min="16146" max="16384" width="9.140625" style="1297"/>
  </cols>
  <sheetData>
    <row r="1" spans="1:17" s="1273" customFormat="1" ht="15" customHeight="1">
      <c r="A1" s="1272"/>
      <c r="B1" s="2377"/>
      <c r="C1" s="2378"/>
      <c r="D1" s="2379" t="s">
        <v>9</v>
      </c>
      <c r="E1" s="2380"/>
      <c r="F1" s="2380"/>
      <c r="G1" s="2380"/>
      <c r="H1" s="2380"/>
      <c r="I1" s="2380"/>
      <c r="J1" s="2380"/>
      <c r="K1" s="2381"/>
    </row>
    <row r="2" spans="1:17" s="1273" customFormat="1" ht="15" customHeight="1">
      <c r="A2" s="1274"/>
      <c r="B2" s="2377"/>
      <c r="C2" s="2378"/>
      <c r="D2" s="2382" t="s">
        <v>734</v>
      </c>
      <c r="E2" s="2383"/>
      <c r="F2" s="2383"/>
      <c r="G2" s="2383"/>
      <c r="H2" s="2383"/>
      <c r="I2" s="2383"/>
      <c r="J2" s="2383"/>
      <c r="K2" s="2384"/>
    </row>
    <row r="3" spans="1:17" s="1273" customFormat="1" ht="15" customHeight="1">
      <c r="A3" s="1274"/>
      <c r="B3" s="2377"/>
      <c r="C3" s="2378"/>
      <c r="D3" s="2385" t="s">
        <v>735</v>
      </c>
      <c r="E3" s="2386"/>
      <c r="F3" s="2386"/>
      <c r="G3" s="2386"/>
      <c r="H3" s="2386"/>
      <c r="I3" s="2386"/>
      <c r="J3" s="2386"/>
      <c r="K3" s="2387"/>
    </row>
    <row r="4" spans="1:17" s="1273" customFormat="1" ht="12.95" customHeight="1">
      <c r="A4" s="1274"/>
      <c r="B4" s="2377"/>
      <c r="C4" s="2378"/>
      <c r="D4" s="2388" t="s">
        <v>736</v>
      </c>
      <c r="E4" s="2389"/>
      <c r="F4" s="2389"/>
      <c r="G4" s="2389"/>
      <c r="H4" s="2389"/>
      <c r="I4" s="2390"/>
      <c r="J4" s="2388" t="s">
        <v>578</v>
      </c>
      <c r="K4" s="2390"/>
    </row>
    <row r="5" spans="1:17" s="1273" customFormat="1" ht="12.95" customHeight="1">
      <c r="A5" s="1275"/>
      <c r="B5" s="2377"/>
      <c r="C5" s="2378"/>
      <c r="D5" s="2388" t="s">
        <v>638</v>
      </c>
      <c r="E5" s="2389"/>
      <c r="F5" s="2389"/>
      <c r="G5" s="2389"/>
      <c r="H5" s="2389"/>
      <c r="I5" s="2389"/>
      <c r="J5" s="2389"/>
      <c r="K5" s="2390"/>
    </row>
    <row r="6" spans="1:17" s="1276" customFormat="1" ht="15" customHeight="1">
      <c r="A6" s="2391" t="s">
        <v>5</v>
      </c>
      <c r="B6" s="2392"/>
      <c r="C6" s="2392"/>
      <c r="D6" s="2393" t="str">
        <f>+IF('Gradacion '!E6="","",'Gradacion '!E6)</f>
        <v/>
      </c>
      <c r="E6" s="2393"/>
      <c r="F6" s="2393"/>
      <c r="G6" s="2393"/>
      <c r="H6" s="2394" t="s">
        <v>324</v>
      </c>
      <c r="I6" s="2394"/>
      <c r="J6" s="2395"/>
      <c r="K6" s="2395"/>
    </row>
    <row r="7" spans="1:17" s="1276" customFormat="1" ht="15" customHeight="1">
      <c r="A7" s="2396" t="s">
        <v>615</v>
      </c>
      <c r="B7" s="2397"/>
      <c r="C7" s="2397"/>
      <c r="D7" s="2398" t="str">
        <f>+IF(D6="","","N/A")</f>
        <v/>
      </c>
      <c r="E7" s="2398"/>
      <c r="F7" s="2398"/>
      <c r="G7" s="2398"/>
      <c r="H7" s="2397" t="s">
        <v>617</v>
      </c>
      <c r="I7" s="2397"/>
      <c r="J7" s="2399" t="str">
        <f>+IF(D6="","","N/A")</f>
        <v/>
      </c>
      <c r="K7" s="2399"/>
    </row>
    <row r="8" spans="1:17" s="1276" customFormat="1" ht="15" customHeight="1">
      <c r="A8" s="2396" t="s">
        <v>616</v>
      </c>
      <c r="B8" s="2397"/>
      <c r="C8" s="2397"/>
      <c r="D8" s="2398" t="str">
        <f>+IF('Gradacion '!O7="","",'Gradacion '!O7)</f>
        <v/>
      </c>
      <c r="E8" s="2398"/>
      <c r="F8" s="2398"/>
      <c r="G8" s="2398"/>
      <c r="H8" s="2397" t="s">
        <v>618</v>
      </c>
      <c r="I8" s="2397"/>
      <c r="J8" s="2400" t="str">
        <f>+IF(D6="","","N/A")</f>
        <v/>
      </c>
      <c r="K8" s="2400"/>
    </row>
    <row r="9" spans="1:17" s="1276" customFormat="1" ht="15" customHeight="1">
      <c r="A9" s="2396" t="s">
        <v>465</v>
      </c>
      <c r="B9" s="2397"/>
      <c r="C9" s="2397"/>
      <c r="D9" s="2398" t="str">
        <f>+IF('Gradacion '!E8="","",'Gradacion '!E8)</f>
        <v/>
      </c>
      <c r="E9" s="2398"/>
      <c r="F9" s="2398"/>
      <c r="G9" s="2398"/>
      <c r="H9" s="2397" t="s">
        <v>637</v>
      </c>
      <c r="I9" s="2397"/>
      <c r="J9" s="2400" t="str">
        <f>+IF(D6="","","N/A")</f>
        <v/>
      </c>
      <c r="K9" s="2400"/>
    </row>
    <row r="10" spans="1:17" s="1276" customFormat="1" ht="15" customHeight="1">
      <c r="A10" s="2406" t="s">
        <v>6</v>
      </c>
      <c r="B10" s="2407"/>
      <c r="C10" s="2407"/>
      <c r="D10" s="2408" t="str">
        <f>+IF('Gradacion '!E9="","",'Gradacion '!E9)</f>
        <v/>
      </c>
      <c r="E10" s="2408"/>
      <c r="F10" s="2408"/>
      <c r="G10" s="2408"/>
      <c r="H10" s="2401" t="s">
        <v>40</v>
      </c>
      <c r="I10" s="2401"/>
      <c r="J10" s="2402" t="str">
        <f>+IF('Gradacion '!AB7="","",'Gradacion '!AB7)</f>
        <v/>
      </c>
      <c r="K10" s="2402"/>
    </row>
    <row r="11" spans="1:17" s="1276" customFormat="1" ht="15" customHeight="1">
      <c r="A11" s="2406"/>
      <c r="B11" s="2407"/>
      <c r="C11" s="2407"/>
      <c r="D11" s="2408"/>
      <c r="E11" s="2408"/>
      <c r="F11" s="2408"/>
      <c r="G11" s="2408"/>
      <c r="H11" s="2409" t="s">
        <v>627</v>
      </c>
      <c r="I11" s="2409"/>
      <c r="J11" s="2402"/>
      <c r="K11" s="2402"/>
    </row>
    <row r="12" spans="1:17" s="1276" customFormat="1" ht="15" customHeight="1">
      <c r="A12" s="2403" t="s">
        <v>620</v>
      </c>
      <c r="B12" s="2404"/>
      <c r="C12" s="2404"/>
      <c r="D12" s="2410" t="str">
        <f>+IF(D6="","","N/A")</f>
        <v/>
      </c>
      <c r="E12" s="2410"/>
      <c r="F12" s="1304" t="s">
        <v>19</v>
      </c>
      <c r="G12" s="1305" t="str">
        <f>+IF('Gradacion '!O8="","",'Gradacion '!O8)</f>
        <v/>
      </c>
      <c r="H12" s="2411" t="s">
        <v>633</v>
      </c>
      <c r="I12" s="2411"/>
      <c r="J12" s="2405" t="str">
        <f>+IF('Gradacion '!AB9="","",'Gradacion '!AB9)</f>
        <v/>
      </c>
      <c r="K12" s="2405"/>
    </row>
    <row r="13" spans="1:17" s="1283" customFormat="1" ht="14.1" customHeight="1">
      <c r="A13" s="1277"/>
      <c r="B13" s="1278"/>
      <c r="C13" s="1278"/>
      <c r="D13" s="1278"/>
      <c r="E13" s="1278"/>
      <c r="F13" s="1279"/>
      <c r="G13" s="1279"/>
      <c r="H13" s="1279"/>
      <c r="I13" s="1280"/>
      <c r="J13" s="1281"/>
      <c r="K13" s="1282"/>
    </row>
    <row r="14" spans="1:17" s="1283" customFormat="1" ht="24.95" customHeight="1">
      <c r="A14" s="1277"/>
      <c r="B14" s="1278"/>
      <c r="C14" s="2418" t="s">
        <v>737</v>
      </c>
      <c r="D14" s="2419"/>
      <c r="E14" s="2419"/>
      <c r="F14" s="2419"/>
      <c r="G14" s="2419"/>
      <c r="H14" s="2419"/>
      <c r="I14" s="2419"/>
      <c r="J14" s="2420"/>
      <c r="K14" s="1282"/>
    </row>
    <row r="15" spans="1:17" s="1283" customFormat="1" ht="24.95" customHeight="1">
      <c r="A15" s="1277"/>
      <c r="B15" s="1284"/>
      <c r="C15" s="2421" t="s">
        <v>166</v>
      </c>
      <c r="D15" s="2422"/>
      <c r="E15" s="2422"/>
      <c r="F15" s="2422"/>
      <c r="G15" s="1285" t="s">
        <v>167</v>
      </c>
      <c r="H15" s="2423"/>
      <c r="I15" s="2423"/>
      <c r="J15" s="2423"/>
      <c r="K15" s="1286"/>
      <c r="M15" s="2417" t="s">
        <v>738</v>
      </c>
      <c r="N15" s="2412" t="s">
        <v>739</v>
      </c>
      <c r="O15" s="2412"/>
      <c r="P15" s="2412" t="s">
        <v>740</v>
      </c>
      <c r="Q15" s="2412"/>
    </row>
    <row r="16" spans="1:17" s="1283" customFormat="1" ht="24.95" customHeight="1">
      <c r="A16" s="1277"/>
      <c r="B16" s="1284"/>
      <c r="C16" s="2413" t="s">
        <v>741</v>
      </c>
      <c r="D16" s="2414"/>
      <c r="E16" s="2414"/>
      <c r="F16" s="2414"/>
      <c r="G16" s="1287"/>
      <c r="H16" s="2415"/>
      <c r="I16" s="2415"/>
      <c r="J16" s="2415"/>
      <c r="K16" s="1286"/>
      <c r="M16" s="2417"/>
      <c r="N16" s="2416" t="s">
        <v>742</v>
      </c>
      <c r="O16" s="2417" t="s">
        <v>743</v>
      </c>
      <c r="P16" s="2416" t="s">
        <v>742</v>
      </c>
      <c r="Q16" s="2417" t="s">
        <v>743</v>
      </c>
    </row>
    <row r="17" spans="1:17" s="1283" customFormat="1" ht="24.95" customHeight="1">
      <c r="A17" s="1277"/>
      <c r="B17" s="1284"/>
      <c r="C17" s="2413" t="s">
        <v>403</v>
      </c>
      <c r="D17" s="2414"/>
      <c r="E17" s="2414"/>
      <c r="F17" s="2414"/>
      <c r="G17" s="1287" t="s">
        <v>167</v>
      </c>
      <c r="H17" s="2415"/>
      <c r="I17" s="2415"/>
      <c r="J17" s="2415"/>
      <c r="K17" s="1286"/>
      <c r="M17" s="2417"/>
      <c r="N17" s="2416"/>
      <c r="O17" s="2417"/>
      <c r="P17" s="2416"/>
      <c r="Q17" s="2417"/>
    </row>
    <row r="18" spans="1:17" s="1283" customFormat="1" ht="24.95" customHeight="1">
      <c r="A18" s="1277"/>
      <c r="B18" s="1284"/>
      <c r="C18" s="2424" t="s">
        <v>744</v>
      </c>
      <c r="D18" s="2425"/>
      <c r="E18" s="2425"/>
      <c r="F18" s="2425"/>
      <c r="G18" s="1288" t="s">
        <v>169</v>
      </c>
      <c r="H18" s="2426"/>
      <c r="I18" s="2426"/>
      <c r="J18" s="2426"/>
      <c r="K18" s="1289"/>
      <c r="M18" s="1290" t="s">
        <v>356</v>
      </c>
      <c r="N18" s="1290">
        <v>5</v>
      </c>
      <c r="O18" s="1290">
        <v>10</v>
      </c>
      <c r="P18" s="1290">
        <v>50</v>
      </c>
      <c r="Q18" s="1290">
        <v>10</v>
      </c>
    </row>
    <row r="19" spans="1:17" s="1283" customFormat="1" ht="24.95" customHeight="1">
      <c r="A19" s="1277"/>
      <c r="B19" s="1284"/>
      <c r="C19" s="2429" t="s">
        <v>784</v>
      </c>
      <c r="D19" s="2430"/>
      <c r="E19" s="2430"/>
      <c r="F19" s="2430"/>
      <c r="G19" s="2431"/>
      <c r="H19" s="2415"/>
      <c r="I19" s="2415"/>
      <c r="J19" s="2415"/>
      <c r="K19" s="1286"/>
      <c r="M19" s="1290" t="s">
        <v>58</v>
      </c>
      <c r="N19" s="1290">
        <v>10</v>
      </c>
      <c r="O19" s="1290">
        <v>10</v>
      </c>
      <c r="P19" s="1290">
        <v>10</v>
      </c>
      <c r="Q19" s="1290">
        <v>10</v>
      </c>
    </row>
    <row r="20" spans="1:17" s="1341" customFormat="1" ht="23.25" customHeight="1">
      <c r="A20" s="1337"/>
      <c r="B20" s="1338"/>
      <c r="C20" s="2427" t="s">
        <v>785</v>
      </c>
      <c r="D20" s="2428"/>
      <c r="E20" s="2428"/>
      <c r="F20" s="2428"/>
      <c r="G20" s="1339"/>
      <c r="H20" s="2372"/>
      <c r="I20" s="2372"/>
      <c r="J20" s="2372"/>
      <c r="K20" s="1340"/>
      <c r="M20" s="1342" t="s">
        <v>61</v>
      </c>
      <c r="N20" s="1342">
        <v>250</v>
      </c>
      <c r="O20" s="1342">
        <v>1</v>
      </c>
      <c r="P20" s="1342">
        <v>2.5</v>
      </c>
      <c r="Q20" s="1342">
        <v>1</v>
      </c>
    </row>
    <row r="21" spans="1:17" s="1341" customFormat="1" ht="23.25" customHeight="1">
      <c r="A21" s="1337"/>
      <c r="B21" s="1338"/>
      <c r="C21" s="2373" t="s">
        <v>745</v>
      </c>
      <c r="D21" s="2374"/>
      <c r="E21" s="2374"/>
      <c r="F21" s="2374"/>
      <c r="G21" s="1291" t="s">
        <v>786</v>
      </c>
      <c r="H21" s="2372"/>
      <c r="I21" s="2372"/>
      <c r="J21" s="2372"/>
      <c r="K21" s="1340"/>
      <c r="M21" s="1342" t="s">
        <v>65</v>
      </c>
      <c r="N21" s="1342">
        <v>50</v>
      </c>
      <c r="O21" s="1342">
        <v>0.1</v>
      </c>
      <c r="P21" s="1342">
        <f>500/1000</f>
        <v>0.5</v>
      </c>
      <c r="Q21" s="1342">
        <v>0.1</v>
      </c>
    </row>
    <row r="22" spans="1:17" s="1341" customFormat="1" ht="23.25" customHeight="1">
      <c r="A22" s="1337"/>
      <c r="B22" s="1338"/>
      <c r="C22" s="2375"/>
      <c r="D22" s="2376"/>
      <c r="E22" s="2376"/>
      <c r="F22" s="2376"/>
      <c r="G22" s="1291" t="s">
        <v>787</v>
      </c>
      <c r="H22" s="2372"/>
      <c r="I22" s="2372"/>
      <c r="J22" s="2372"/>
      <c r="K22" s="1340"/>
      <c r="M22" s="1342" t="s">
        <v>747</v>
      </c>
      <c r="N22" s="1342">
        <v>20</v>
      </c>
      <c r="O22" s="1342">
        <v>0.1</v>
      </c>
      <c r="P22" s="1342">
        <v>0.1</v>
      </c>
      <c r="Q22" s="1342">
        <v>0.1</v>
      </c>
    </row>
    <row r="23" spans="1:17" s="1283" customFormat="1" ht="24.95" customHeight="1">
      <c r="A23" s="1277"/>
      <c r="B23" s="1284"/>
      <c r="C23" s="2424" t="s">
        <v>746</v>
      </c>
      <c r="D23" s="2425"/>
      <c r="E23" s="2425"/>
      <c r="F23" s="2425"/>
      <c r="G23" s="1288" t="s">
        <v>91</v>
      </c>
      <c r="H23" s="2437"/>
      <c r="I23" s="2437"/>
      <c r="J23" s="2437"/>
      <c r="K23" s="1289"/>
      <c r="M23" s="1290" t="s">
        <v>749</v>
      </c>
      <c r="N23" s="1290">
        <v>20</v>
      </c>
      <c r="O23" s="1290">
        <v>0.1</v>
      </c>
      <c r="P23" s="1290">
        <v>0.02</v>
      </c>
      <c r="Q23" s="1290">
        <v>1E-3</v>
      </c>
    </row>
    <row r="24" spans="1:17" s="1283" customFormat="1" ht="24.95" customHeight="1">
      <c r="A24" s="1277"/>
      <c r="B24" s="1284"/>
      <c r="C24" s="2424" t="s">
        <v>748</v>
      </c>
      <c r="D24" s="2425"/>
      <c r="E24" s="2425"/>
      <c r="F24" s="2425"/>
      <c r="G24" s="1288" t="s">
        <v>91</v>
      </c>
      <c r="H24" s="2437"/>
      <c r="I24" s="2437"/>
      <c r="J24" s="2437"/>
      <c r="K24" s="1289"/>
    </row>
    <row r="25" spans="1:17" s="1283" customFormat="1" ht="24.95" customHeight="1">
      <c r="A25" s="1277"/>
      <c r="B25" s="1284"/>
      <c r="C25" s="2424" t="s">
        <v>750</v>
      </c>
      <c r="D25" s="2425"/>
      <c r="E25" s="2425"/>
      <c r="F25" s="2425"/>
      <c r="G25" s="1288" t="s">
        <v>91</v>
      </c>
      <c r="H25" s="2437"/>
      <c r="I25" s="2437"/>
      <c r="J25" s="2437"/>
      <c r="K25" s="1289"/>
    </row>
    <row r="26" spans="1:17" s="1283" customFormat="1" ht="24.95" customHeight="1">
      <c r="A26" s="1277"/>
      <c r="B26" s="1284"/>
      <c r="C26" s="2438" t="s">
        <v>751</v>
      </c>
      <c r="D26" s="2439"/>
      <c r="E26" s="2439"/>
      <c r="F26" s="2439"/>
      <c r="G26" s="1292" t="s">
        <v>95</v>
      </c>
      <c r="H26" s="2440" t="str">
        <f>+IF(H23="","",((H23-H24)/(H24-H25))*100)</f>
        <v/>
      </c>
      <c r="I26" s="2440"/>
      <c r="J26" s="2440"/>
      <c r="K26" s="1293"/>
    </row>
    <row r="27" spans="1:17" s="89" customFormat="1" ht="14.1" customHeight="1">
      <c r="A27" s="1294"/>
      <c r="B27" s="2441"/>
      <c r="C27" s="2442"/>
      <c r="D27" s="2442"/>
      <c r="E27" s="2442"/>
      <c r="F27" s="2442"/>
      <c r="G27" s="2442"/>
      <c r="H27" s="2441"/>
      <c r="I27" s="2441"/>
      <c r="J27" s="2441"/>
      <c r="K27" s="2443"/>
      <c r="L27" s="1068"/>
    </row>
    <row r="28" spans="1:17" s="84" customFormat="1" ht="96" customHeight="1">
      <c r="A28" s="2444" t="s">
        <v>20</v>
      </c>
      <c r="B28" s="2445"/>
      <c r="C28" s="2446"/>
      <c r="D28" s="2446"/>
      <c r="E28" s="2446"/>
      <c r="F28" s="2446"/>
      <c r="G28" s="2446"/>
      <c r="H28" s="2446"/>
      <c r="I28" s="2446"/>
      <c r="J28" s="2446"/>
      <c r="K28" s="2447"/>
    </row>
    <row r="29" spans="1:17" s="84" customFormat="1" ht="14.1" customHeight="1">
      <c r="A29" s="2432"/>
      <c r="B29" s="2433"/>
      <c r="C29" s="2434" t="s">
        <v>10</v>
      </c>
      <c r="D29" s="2435"/>
      <c r="E29" s="2436"/>
      <c r="F29" s="2434" t="s">
        <v>22</v>
      </c>
      <c r="G29" s="2435"/>
      <c r="H29" s="2436"/>
      <c r="I29" s="2435" t="s">
        <v>23</v>
      </c>
      <c r="J29" s="2435"/>
      <c r="K29" s="2436"/>
    </row>
    <row r="30" spans="1:17" s="84" customFormat="1" ht="39.950000000000003" customHeight="1">
      <c r="A30" s="2448" t="s">
        <v>13</v>
      </c>
      <c r="B30" s="2449"/>
      <c r="C30" s="2343"/>
      <c r="D30" s="2344"/>
      <c r="E30" s="2345"/>
      <c r="F30" s="2450"/>
      <c r="G30" s="2451"/>
      <c r="H30" s="2452"/>
      <c r="I30" s="2451"/>
      <c r="J30" s="2451"/>
      <c r="K30" s="2452"/>
    </row>
    <row r="31" spans="1:17" s="84" customFormat="1" ht="12.95" customHeight="1">
      <c r="A31" s="2453" t="s">
        <v>621</v>
      </c>
      <c r="B31" s="2454"/>
      <c r="C31" s="2455" t="s">
        <v>560</v>
      </c>
      <c r="D31" s="2456"/>
      <c r="E31" s="2457"/>
      <c r="F31" s="2458" t="s">
        <v>560</v>
      </c>
      <c r="G31" s="2459"/>
      <c r="H31" s="2460"/>
      <c r="I31" s="2461" t="s">
        <v>560</v>
      </c>
      <c r="J31" s="2459"/>
      <c r="K31" s="2460"/>
    </row>
    <row r="32" spans="1:17" s="84" customFormat="1" ht="12.95" customHeight="1" thickBot="1">
      <c r="A32" s="2453" t="s">
        <v>14</v>
      </c>
      <c r="B32" s="2454"/>
      <c r="C32" s="2462" t="str">
        <f>IF(C31="--","",VLOOKUP(C31,firmas!A2:B31,2,0))</f>
        <v/>
      </c>
      <c r="D32" s="2456"/>
      <c r="E32" s="2457"/>
      <c r="F32" s="2463" t="str">
        <f>IF(F31="--","",VLOOKUP(F31,firmas!A33:B35,2,0))</f>
        <v/>
      </c>
      <c r="G32" s="2459"/>
      <c r="H32" s="2460"/>
      <c r="I32" s="2459" t="str">
        <f>IF(I31="--","",VLOOKUP(I31,[25]firmas!A33:B34,2))</f>
        <v/>
      </c>
      <c r="J32" s="2459"/>
      <c r="K32" s="2460"/>
    </row>
    <row r="33" spans="1:21" s="91" customFormat="1" ht="18" customHeight="1" thickTop="1" thickBot="1">
      <c r="A33" s="2207" t="s">
        <v>24</v>
      </c>
      <c r="B33" s="2207"/>
      <c r="C33" s="2207"/>
      <c r="D33" s="2207"/>
      <c r="E33" s="2207"/>
      <c r="F33" s="2207"/>
      <c r="G33" s="2207"/>
      <c r="H33" s="2207"/>
      <c r="I33" s="2207"/>
      <c r="J33" s="2207"/>
      <c r="K33" s="2207"/>
      <c r="L33" s="1072"/>
      <c r="M33" s="1072"/>
      <c r="N33" s="1072"/>
      <c r="O33" s="1072"/>
      <c r="P33" s="1072"/>
      <c r="Q33" s="1072"/>
      <c r="R33" s="1072"/>
      <c r="S33" s="1072"/>
      <c r="T33" s="1072"/>
      <c r="U33" s="1072"/>
    </row>
    <row r="34" spans="1:21" s="84" customFormat="1" ht="18.75" customHeight="1" thickTop="1">
      <c r="A34" s="1295"/>
      <c r="B34" s="2464" t="s">
        <v>25</v>
      </c>
      <c r="C34" s="2464"/>
      <c r="D34" s="2464"/>
      <c r="E34" s="2464"/>
      <c r="F34" s="2464"/>
      <c r="G34" s="2464"/>
      <c r="H34" s="2464"/>
      <c r="I34" s="2464"/>
      <c r="J34" s="2464"/>
      <c r="K34" s="2464"/>
      <c r="L34" s="1073"/>
      <c r="M34" s="1073"/>
      <c r="N34" s="1073"/>
      <c r="O34" s="1073"/>
      <c r="P34" s="1073"/>
      <c r="Q34" s="1073"/>
      <c r="R34" s="1073"/>
      <c r="S34" s="1073"/>
      <c r="T34" s="1073"/>
      <c r="U34" s="1073"/>
    </row>
    <row r="35" spans="1:21" s="84" customFormat="1" ht="30" customHeight="1">
      <c r="A35" s="1296"/>
      <c r="B35" s="2274" t="s">
        <v>16</v>
      </c>
      <c r="C35" s="2274"/>
      <c r="D35" s="2274"/>
      <c r="E35" s="2274"/>
      <c r="F35" s="2274"/>
      <c r="G35" s="2274"/>
      <c r="H35" s="2274"/>
      <c r="I35" s="2274"/>
      <c r="J35" s="2274"/>
      <c r="K35" s="2274"/>
      <c r="L35" s="1074"/>
      <c r="M35" s="1074"/>
      <c r="N35" s="1074"/>
      <c r="O35" s="1074"/>
      <c r="P35" s="1074"/>
      <c r="Q35" s="1074"/>
      <c r="R35" s="1074"/>
      <c r="S35" s="1074"/>
      <c r="T35" s="1074"/>
      <c r="U35" s="1074"/>
    </row>
    <row r="36" spans="1:21" ht="10.5" customHeight="1"/>
    <row r="39" spans="1:21">
      <c r="B39" s="1298"/>
      <c r="C39" s="1298"/>
      <c r="D39" s="1298"/>
    </row>
  </sheetData>
  <sheetProtection algorithmName="SHA-512" hashValue="guhFcfJzr19vHne57U/8W0TCQHMGFf7MwRwj8lVjUGYIfaRI9tXg5PqAJOmvL/S6Soizz6g1pMs3QTnv1rdjAQ==" saltValue="MLaPVdaPenaBfZR0b+V/mg==" spinCount="100000" sheet="1" objects="1" scenarios="1"/>
  <mergeCells count="86">
    <mergeCell ref="B35:K35"/>
    <mergeCell ref="A32:B32"/>
    <mergeCell ref="C32:E32"/>
    <mergeCell ref="F32:H32"/>
    <mergeCell ref="I32:K32"/>
    <mergeCell ref="A33:K33"/>
    <mergeCell ref="B34:K34"/>
    <mergeCell ref="A30:B30"/>
    <mergeCell ref="C30:E30"/>
    <mergeCell ref="F30:H30"/>
    <mergeCell ref="I30:K30"/>
    <mergeCell ref="A31:B31"/>
    <mergeCell ref="C31:E31"/>
    <mergeCell ref="F31:H31"/>
    <mergeCell ref="I31:K31"/>
    <mergeCell ref="H22:J22"/>
    <mergeCell ref="A29:B29"/>
    <mergeCell ref="C29:E29"/>
    <mergeCell ref="F29:H29"/>
    <mergeCell ref="I29:K29"/>
    <mergeCell ref="C23:F23"/>
    <mergeCell ref="H23:J23"/>
    <mergeCell ref="C24:F24"/>
    <mergeCell ref="H24:J24"/>
    <mergeCell ref="C25:F25"/>
    <mergeCell ref="H25:J25"/>
    <mergeCell ref="C26:F26"/>
    <mergeCell ref="H26:J26"/>
    <mergeCell ref="B27:K27"/>
    <mergeCell ref="A28:B28"/>
    <mergeCell ref="C28:K28"/>
    <mergeCell ref="C18:F18"/>
    <mergeCell ref="H18:J18"/>
    <mergeCell ref="H19:J19"/>
    <mergeCell ref="C20:F20"/>
    <mergeCell ref="H20:J20"/>
    <mergeCell ref="C19:G19"/>
    <mergeCell ref="C14:J14"/>
    <mergeCell ref="C15:F15"/>
    <mergeCell ref="H15:J15"/>
    <mergeCell ref="M15:M17"/>
    <mergeCell ref="N15:O15"/>
    <mergeCell ref="C17:F17"/>
    <mergeCell ref="H17:J17"/>
    <mergeCell ref="P15:Q15"/>
    <mergeCell ref="C16:F16"/>
    <mergeCell ref="H16:J16"/>
    <mergeCell ref="N16:N17"/>
    <mergeCell ref="O16:O17"/>
    <mergeCell ref="P16:P17"/>
    <mergeCell ref="Q16:Q17"/>
    <mergeCell ref="A12:C12"/>
    <mergeCell ref="J12:K12"/>
    <mergeCell ref="J11:K11"/>
    <mergeCell ref="A10:C11"/>
    <mergeCell ref="D10:G11"/>
    <mergeCell ref="H11:I11"/>
    <mergeCell ref="D12:E12"/>
    <mergeCell ref="H12:I12"/>
    <mergeCell ref="A9:C9"/>
    <mergeCell ref="D9:G9"/>
    <mergeCell ref="J9:K9"/>
    <mergeCell ref="H9:I9"/>
    <mergeCell ref="H10:I10"/>
    <mergeCell ref="J10:K10"/>
    <mergeCell ref="J7:K7"/>
    <mergeCell ref="A8:C8"/>
    <mergeCell ref="D8:G8"/>
    <mergeCell ref="H8:I8"/>
    <mergeCell ref="J8:K8"/>
    <mergeCell ref="H21:J21"/>
    <mergeCell ref="C21:F22"/>
    <mergeCell ref="B1:C5"/>
    <mergeCell ref="D1:K1"/>
    <mergeCell ref="D2:K2"/>
    <mergeCell ref="D3:K3"/>
    <mergeCell ref="D4:I4"/>
    <mergeCell ref="J4:K4"/>
    <mergeCell ref="D5:K5"/>
    <mergeCell ref="A6:C6"/>
    <mergeCell ref="D6:G6"/>
    <mergeCell ref="H6:I6"/>
    <mergeCell ref="J6:K6"/>
    <mergeCell ref="A7:C7"/>
    <mergeCell ref="D7:G7"/>
    <mergeCell ref="H7:I7"/>
  </mergeCells>
  <printOptions horizontalCentered="1"/>
  <pageMargins left="0.59055118110236227" right="0.19685039370078741" top="0" bottom="0" header="0" footer="0.78740157480314965"/>
  <pageSetup scale="93" orientation="portrait" r:id="rId1"/>
  <headerFooter>
    <oddFooter>&amp;L&amp;"Arial,Normal"&amp;6Calle 26 No. 57-41 Torre 8 Pisos 7-8 CEMSA - CP: 1113111            
Pbx: 3779555  - Información: Línea 195     
www.umv.gov.co111311&amp;C&amp;"Arial,Normal"&amp;6PRO-FM-003
Página 1 de 1</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firmas!$A$37:$A$39</xm:f>
          </x14:formula1>
          <xm:sqref>I31:K31</xm:sqref>
        </x14:dataValidation>
        <x14:dataValidation type="list" allowBlank="1" showInputMessage="1" showErrorMessage="1">
          <x14:formula1>
            <xm:f>firmas!$A$2:$A$31</xm:f>
          </x14:formula1>
          <xm:sqref>C31:E31</xm:sqref>
        </x14:dataValidation>
        <x14:dataValidation type="list" allowBlank="1" showInputMessage="1" showErrorMessage="1">
          <x14:formula1>
            <xm:f>firmas!$A$33:$A$35</xm:f>
          </x14:formula1>
          <xm:sqref>F31:H31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U39"/>
  <sheetViews>
    <sheetView showGridLines="0" view="pageBreakPreview" topLeftCell="A16" zoomScaleSheetLayoutView="100" workbookViewId="0">
      <selection activeCell="E17" sqref="E17:X17"/>
    </sheetView>
  </sheetViews>
  <sheetFormatPr baseColWidth="10" defaultColWidth="9.140625" defaultRowHeight="12.75"/>
  <cols>
    <col min="1" max="1" width="5.7109375" style="1297" customWidth="1"/>
    <col min="2" max="2" width="9.7109375" style="1297" customWidth="1"/>
    <col min="3" max="6" width="8.7109375" style="1297" customWidth="1"/>
    <col min="7" max="7" width="11.7109375" style="1297" customWidth="1"/>
    <col min="8" max="11" width="8.7109375" style="1297" customWidth="1"/>
    <col min="12" max="12" width="9.140625" style="1297"/>
    <col min="13" max="17" width="10.42578125" style="1297" customWidth="1"/>
    <col min="18" max="256" width="9.140625" style="1297"/>
    <col min="257" max="257" width="5.7109375" style="1297" customWidth="1"/>
    <col min="258" max="258" width="9.7109375" style="1297" customWidth="1"/>
    <col min="259" max="267" width="8.7109375" style="1297" customWidth="1"/>
    <col min="268" max="268" width="9.140625" style="1297"/>
    <col min="269" max="273" width="10.42578125" style="1297" customWidth="1"/>
    <col min="274" max="512" width="9.140625" style="1297"/>
    <col min="513" max="513" width="5.7109375" style="1297" customWidth="1"/>
    <col min="514" max="514" width="9.7109375" style="1297" customWidth="1"/>
    <col min="515" max="523" width="8.7109375" style="1297" customWidth="1"/>
    <col min="524" max="524" width="9.140625" style="1297"/>
    <col min="525" max="529" width="10.42578125" style="1297" customWidth="1"/>
    <col min="530" max="768" width="9.140625" style="1297"/>
    <col min="769" max="769" width="5.7109375" style="1297" customWidth="1"/>
    <col min="770" max="770" width="9.7109375" style="1297" customWidth="1"/>
    <col min="771" max="779" width="8.7109375" style="1297" customWidth="1"/>
    <col min="780" max="780" width="9.140625" style="1297"/>
    <col min="781" max="785" width="10.42578125" style="1297" customWidth="1"/>
    <col min="786" max="1024" width="9.140625" style="1297"/>
    <col min="1025" max="1025" width="5.7109375" style="1297" customWidth="1"/>
    <col min="1026" max="1026" width="9.7109375" style="1297" customWidth="1"/>
    <col min="1027" max="1035" width="8.7109375" style="1297" customWidth="1"/>
    <col min="1036" max="1036" width="9.140625" style="1297"/>
    <col min="1037" max="1041" width="10.42578125" style="1297" customWidth="1"/>
    <col min="1042" max="1280" width="9.140625" style="1297"/>
    <col min="1281" max="1281" width="5.7109375" style="1297" customWidth="1"/>
    <col min="1282" max="1282" width="9.7109375" style="1297" customWidth="1"/>
    <col min="1283" max="1291" width="8.7109375" style="1297" customWidth="1"/>
    <col min="1292" max="1292" width="9.140625" style="1297"/>
    <col min="1293" max="1297" width="10.42578125" style="1297" customWidth="1"/>
    <col min="1298" max="1536" width="9.140625" style="1297"/>
    <col min="1537" max="1537" width="5.7109375" style="1297" customWidth="1"/>
    <col min="1538" max="1538" width="9.7109375" style="1297" customWidth="1"/>
    <col min="1539" max="1547" width="8.7109375" style="1297" customWidth="1"/>
    <col min="1548" max="1548" width="9.140625" style="1297"/>
    <col min="1549" max="1553" width="10.42578125" style="1297" customWidth="1"/>
    <col min="1554" max="1792" width="9.140625" style="1297"/>
    <col min="1793" max="1793" width="5.7109375" style="1297" customWidth="1"/>
    <col min="1794" max="1794" width="9.7109375" style="1297" customWidth="1"/>
    <col min="1795" max="1803" width="8.7109375" style="1297" customWidth="1"/>
    <col min="1804" max="1804" width="9.140625" style="1297"/>
    <col min="1805" max="1809" width="10.42578125" style="1297" customWidth="1"/>
    <col min="1810" max="2048" width="9.140625" style="1297"/>
    <col min="2049" max="2049" width="5.7109375" style="1297" customWidth="1"/>
    <col min="2050" max="2050" width="9.7109375" style="1297" customWidth="1"/>
    <col min="2051" max="2059" width="8.7109375" style="1297" customWidth="1"/>
    <col min="2060" max="2060" width="9.140625" style="1297"/>
    <col min="2061" max="2065" width="10.42578125" style="1297" customWidth="1"/>
    <col min="2066" max="2304" width="9.140625" style="1297"/>
    <col min="2305" max="2305" width="5.7109375" style="1297" customWidth="1"/>
    <col min="2306" max="2306" width="9.7109375" style="1297" customWidth="1"/>
    <col min="2307" max="2315" width="8.7109375" style="1297" customWidth="1"/>
    <col min="2316" max="2316" width="9.140625" style="1297"/>
    <col min="2317" max="2321" width="10.42578125" style="1297" customWidth="1"/>
    <col min="2322" max="2560" width="9.140625" style="1297"/>
    <col min="2561" max="2561" width="5.7109375" style="1297" customWidth="1"/>
    <col min="2562" max="2562" width="9.7109375" style="1297" customWidth="1"/>
    <col min="2563" max="2571" width="8.7109375" style="1297" customWidth="1"/>
    <col min="2572" max="2572" width="9.140625" style="1297"/>
    <col min="2573" max="2577" width="10.42578125" style="1297" customWidth="1"/>
    <col min="2578" max="2816" width="9.140625" style="1297"/>
    <col min="2817" max="2817" width="5.7109375" style="1297" customWidth="1"/>
    <col min="2818" max="2818" width="9.7109375" style="1297" customWidth="1"/>
    <col min="2819" max="2827" width="8.7109375" style="1297" customWidth="1"/>
    <col min="2828" max="2828" width="9.140625" style="1297"/>
    <col min="2829" max="2833" width="10.42578125" style="1297" customWidth="1"/>
    <col min="2834" max="3072" width="9.140625" style="1297"/>
    <col min="3073" max="3073" width="5.7109375" style="1297" customWidth="1"/>
    <col min="3074" max="3074" width="9.7109375" style="1297" customWidth="1"/>
    <col min="3075" max="3083" width="8.7109375" style="1297" customWidth="1"/>
    <col min="3084" max="3084" width="9.140625" style="1297"/>
    <col min="3085" max="3089" width="10.42578125" style="1297" customWidth="1"/>
    <col min="3090" max="3328" width="9.140625" style="1297"/>
    <col min="3329" max="3329" width="5.7109375" style="1297" customWidth="1"/>
    <col min="3330" max="3330" width="9.7109375" style="1297" customWidth="1"/>
    <col min="3331" max="3339" width="8.7109375" style="1297" customWidth="1"/>
    <col min="3340" max="3340" width="9.140625" style="1297"/>
    <col min="3341" max="3345" width="10.42578125" style="1297" customWidth="1"/>
    <col min="3346" max="3584" width="9.140625" style="1297"/>
    <col min="3585" max="3585" width="5.7109375" style="1297" customWidth="1"/>
    <col min="3586" max="3586" width="9.7109375" style="1297" customWidth="1"/>
    <col min="3587" max="3595" width="8.7109375" style="1297" customWidth="1"/>
    <col min="3596" max="3596" width="9.140625" style="1297"/>
    <col min="3597" max="3601" width="10.42578125" style="1297" customWidth="1"/>
    <col min="3602" max="3840" width="9.140625" style="1297"/>
    <col min="3841" max="3841" width="5.7109375" style="1297" customWidth="1"/>
    <col min="3842" max="3842" width="9.7109375" style="1297" customWidth="1"/>
    <col min="3843" max="3851" width="8.7109375" style="1297" customWidth="1"/>
    <col min="3852" max="3852" width="9.140625" style="1297"/>
    <col min="3853" max="3857" width="10.42578125" style="1297" customWidth="1"/>
    <col min="3858" max="4096" width="9.140625" style="1297"/>
    <col min="4097" max="4097" width="5.7109375" style="1297" customWidth="1"/>
    <col min="4098" max="4098" width="9.7109375" style="1297" customWidth="1"/>
    <col min="4099" max="4107" width="8.7109375" style="1297" customWidth="1"/>
    <col min="4108" max="4108" width="9.140625" style="1297"/>
    <col min="4109" max="4113" width="10.42578125" style="1297" customWidth="1"/>
    <col min="4114" max="4352" width="9.140625" style="1297"/>
    <col min="4353" max="4353" width="5.7109375" style="1297" customWidth="1"/>
    <col min="4354" max="4354" width="9.7109375" style="1297" customWidth="1"/>
    <col min="4355" max="4363" width="8.7109375" style="1297" customWidth="1"/>
    <col min="4364" max="4364" width="9.140625" style="1297"/>
    <col min="4365" max="4369" width="10.42578125" style="1297" customWidth="1"/>
    <col min="4370" max="4608" width="9.140625" style="1297"/>
    <col min="4609" max="4609" width="5.7109375" style="1297" customWidth="1"/>
    <col min="4610" max="4610" width="9.7109375" style="1297" customWidth="1"/>
    <col min="4611" max="4619" width="8.7109375" style="1297" customWidth="1"/>
    <col min="4620" max="4620" width="9.140625" style="1297"/>
    <col min="4621" max="4625" width="10.42578125" style="1297" customWidth="1"/>
    <col min="4626" max="4864" width="9.140625" style="1297"/>
    <col min="4865" max="4865" width="5.7109375" style="1297" customWidth="1"/>
    <col min="4866" max="4866" width="9.7109375" style="1297" customWidth="1"/>
    <col min="4867" max="4875" width="8.7109375" style="1297" customWidth="1"/>
    <col min="4876" max="4876" width="9.140625" style="1297"/>
    <col min="4877" max="4881" width="10.42578125" style="1297" customWidth="1"/>
    <col min="4882" max="5120" width="9.140625" style="1297"/>
    <col min="5121" max="5121" width="5.7109375" style="1297" customWidth="1"/>
    <col min="5122" max="5122" width="9.7109375" style="1297" customWidth="1"/>
    <col min="5123" max="5131" width="8.7109375" style="1297" customWidth="1"/>
    <col min="5132" max="5132" width="9.140625" style="1297"/>
    <col min="5133" max="5137" width="10.42578125" style="1297" customWidth="1"/>
    <col min="5138" max="5376" width="9.140625" style="1297"/>
    <col min="5377" max="5377" width="5.7109375" style="1297" customWidth="1"/>
    <col min="5378" max="5378" width="9.7109375" style="1297" customWidth="1"/>
    <col min="5379" max="5387" width="8.7109375" style="1297" customWidth="1"/>
    <col min="5388" max="5388" width="9.140625" style="1297"/>
    <col min="5389" max="5393" width="10.42578125" style="1297" customWidth="1"/>
    <col min="5394" max="5632" width="9.140625" style="1297"/>
    <col min="5633" max="5633" width="5.7109375" style="1297" customWidth="1"/>
    <col min="5634" max="5634" width="9.7109375" style="1297" customWidth="1"/>
    <col min="5635" max="5643" width="8.7109375" style="1297" customWidth="1"/>
    <col min="5644" max="5644" width="9.140625" style="1297"/>
    <col min="5645" max="5649" width="10.42578125" style="1297" customWidth="1"/>
    <col min="5650" max="5888" width="9.140625" style="1297"/>
    <col min="5889" max="5889" width="5.7109375" style="1297" customWidth="1"/>
    <col min="5890" max="5890" width="9.7109375" style="1297" customWidth="1"/>
    <col min="5891" max="5899" width="8.7109375" style="1297" customWidth="1"/>
    <col min="5900" max="5900" width="9.140625" style="1297"/>
    <col min="5901" max="5905" width="10.42578125" style="1297" customWidth="1"/>
    <col min="5906" max="6144" width="9.140625" style="1297"/>
    <col min="6145" max="6145" width="5.7109375" style="1297" customWidth="1"/>
    <col min="6146" max="6146" width="9.7109375" style="1297" customWidth="1"/>
    <col min="6147" max="6155" width="8.7109375" style="1297" customWidth="1"/>
    <col min="6156" max="6156" width="9.140625" style="1297"/>
    <col min="6157" max="6161" width="10.42578125" style="1297" customWidth="1"/>
    <col min="6162" max="6400" width="9.140625" style="1297"/>
    <col min="6401" max="6401" width="5.7109375" style="1297" customWidth="1"/>
    <col min="6402" max="6402" width="9.7109375" style="1297" customWidth="1"/>
    <col min="6403" max="6411" width="8.7109375" style="1297" customWidth="1"/>
    <col min="6412" max="6412" width="9.140625" style="1297"/>
    <col min="6413" max="6417" width="10.42578125" style="1297" customWidth="1"/>
    <col min="6418" max="6656" width="9.140625" style="1297"/>
    <col min="6657" max="6657" width="5.7109375" style="1297" customWidth="1"/>
    <col min="6658" max="6658" width="9.7109375" style="1297" customWidth="1"/>
    <col min="6659" max="6667" width="8.7109375" style="1297" customWidth="1"/>
    <col min="6668" max="6668" width="9.140625" style="1297"/>
    <col min="6669" max="6673" width="10.42578125" style="1297" customWidth="1"/>
    <col min="6674" max="6912" width="9.140625" style="1297"/>
    <col min="6913" max="6913" width="5.7109375" style="1297" customWidth="1"/>
    <col min="6914" max="6914" width="9.7109375" style="1297" customWidth="1"/>
    <col min="6915" max="6923" width="8.7109375" style="1297" customWidth="1"/>
    <col min="6924" max="6924" width="9.140625" style="1297"/>
    <col min="6925" max="6929" width="10.42578125" style="1297" customWidth="1"/>
    <col min="6930" max="7168" width="9.140625" style="1297"/>
    <col min="7169" max="7169" width="5.7109375" style="1297" customWidth="1"/>
    <col min="7170" max="7170" width="9.7109375" style="1297" customWidth="1"/>
    <col min="7171" max="7179" width="8.7109375" style="1297" customWidth="1"/>
    <col min="7180" max="7180" width="9.140625" style="1297"/>
    <col min="7181" max="7185" width="10.42578125" style="1297" customWidth="1"/>
    <col min="7186" max="7424" width="9.140625" style="1297"/>
    <col min="7425" max="7425" width="5.7109375" style="1297" customWidth="1"/>
    <col min="7426" max="7426" width="9.7109375" style="1297" customWidth="1"/>
    <col min="7427" max="7435" width="8.7109375" style="1297" customWidth="1"/>
    <col min="7436" max="7436" width="9.140625" style="1297"/>
    <col min="7437" max="7441" width="10.42578125" style="1297" customWidth="1"/>
    <col min="7442" max="7680" width="9.140625" style="1297"/>
    <col min="7681" max="7681" width="5.7109375" style="1297" customWidth="1"/>
    <col min="7682" max="7682" width="9.7109375" style="1297" customWidth="1"/>
    <col min="7683" max="7691" width="8.7109375" style="1297" customWidth="1"/>
    <col min="7692" max="7692" width="9.140625" style="1297"/>
    <col min="7693" max="7697" width="10.42578125" style="1297" customWidth="1"/>
    <col min="7698" max="7936" width="9.140625" style="1297"/>
    <col min="7937" max="7937" width="5.7109375" style="1297" customWidth="1"/>
    <col min="7938" max="7938" width="9.7109375" style="1297" customWidth="1"/>
    <col min="7939" max="7947" width="8.7109375" style="1297" customWidth="1"/>
    <col min="7948" max="7948" width="9.140625" style="1297"/>
    <col min="7949" max="7953" width="10.42578125" style="1297" customWidth="1"/>
    <col min="7954" max="8192" width="9.140625" style="1297"/>
    <col min="8193" max="8193" width="5.7109375" style="1297" customWidth="1"/>
    <col min="8194" max="8194" width="9.7109375" style="1297" customWidth="1"/>
    <col min="8195" max="8203" width="8.7109375" style="1297" customWidth="1"/>
    <col min="8204" max="8204" width="9.140625" style="1297"/>
    <col min="8205" max="8209" width="10.42578125" style="1297" customWidth="1"/>
    <col min="8210" max="8448" width="9.140625" style="1297"/>
    <col min="8449" max="8449" width="5.7109375" style="1297" customWidth="1"/>
    <col min="8450" max="8450" width="9.7109375" style="1297" customWidth="1"/>
    <col min="8451" max="8459" width="8.7109375" style="1297" customWidth="1"/>
    <col min="8460" max="8460" width="9.140625" style="1297"/>
    <col min="8461" max="8465" width="10.42578125" style="1297" customWidth="1"/>
    <col min="8466" max="8704" width="9.140625" style="1297"/>
    <col min="8705" max="8705" width="5.7109375" style="1297" customWidth="1"/>
    <col min="8706" max="8706" width="9.7109375" style="1297" customWidth="1"/>
    <col min="8707" max="8715" width="8.7109375" style="1297" customWidth="1"/>
    <col min="8716" max="8716" width="9.140625" style="1297"/>
    <col min="8717" max="8721" width="10.42578125" style="1297" customWidth="1"/>
    <col min="8722" max="8960" width="9.140625" style="1297"/>
    <col min="8961" max="8961" width="5.7109375" style="1297" customWidth="1"/>
    <col min="8962" max="8962" width="9.7109375" style="1297" customWidth="1"/>
    <col min="8963" max="8971" width="8.7109375" style="1297" customWidth="1"/>
    <col min="8972" max="8972" width="9.140625" style="1297"/>
    <col min="8973" max="8977" width="10.42578125" style="1297" customWidth="1"/>
    <col min="8978" max="9216" width="9.140625" style="1297"/>
    <col min="9217" max="9217" width="5.7109375" style="1297" customWidth="1"/>
    <col min="9218" max="9218" width="9.7109375" style="1297" customWidth="1"/>
    <col min="9219" max="9227" width="8.7109375" style="1297" customWidth="1"/>
    <col min="9228" max="9228" width="9.140625" style="1297"/>
    <col min="9229" max="9233" width="10.42578125" style="1297" customWidth="1"/>
    <col min="9234" max="9472" width="9.140625" style="1297"/>
    <col min="9473" max="9473" width="5.7109375" style="1297" customWidth="1"/>
    <col min="9474" max="9474" width="9.7109375" style="1297" customWidth="1"/>
    <col min="9475" max="9483" width="8.7109375" style="1297" customWidth="1"/>
    <col min="9484" max="9484" width="9.140625" style="1297"/>
    <col min="9485" max="9489" width="10.42578125" style="1297" customWidth="1"/>
    <col min="9490" max="9728" width="9.140625" style="1297"/>
    <col min="9729" max="9729" width="5.7109375" style="1297" customWidth="1"/>
    <col min="9730" max="9730" width="9.7109375" style="1297" customWidth="1"/>
    <col min="9731" max="9739" width="8.7109375" style="1297" customWidth="1"/>
    <col min="9740" max="9740" width="9.140625" style="1297"/>
    <col min="9741" max="9745" width="10.42578125" style="1297" customWidth="1"/>
    <col min="9746" max="9984" width="9.140625" style="1297"/>
    <col min="9985" max="9985" width="5.7109375" style="1297" customWidth="1"/>
    <col min="9986" max="9986" width="9.7109375" style="1297" customWidth="1"/>
    <col min="9987" max="9995" width="8.7109375" style="1297" customWidth="1"/>
    <col min="9996" max="9996" width="9.140625" style="1297"/>
    <col min="9997" max="10001" width="10.42578125" style="1297" customWidth="1"/>
    <col min="10002" max="10240" width="9.140625" style="1297"/>
    <col min="10241" max="10241" width="5.7109375" style="1297" customWidth="1"/>
    <col min="10242" max="10242" width="9.7109375" style="1297" customWidth="1"/>
    <col min="10243" max="10251" width="8.7109375" style="1297" customWidth="1"/>
    <col min="10252" max="10252" width="9.140625" style="1297"/>
    <col min="10253" max="10257" width="10.42578125" style="1297" customWidth="1"/>
    <col min="10258" max="10496" width="9.140625" style="1297"/>
    <col min="10497" max="10497" width="5.7109375" style="1297" customWidth="1"/>
    <col min="10498" max="10498" width="9.7109375" style="1297" customWidth="1"/>
    <col min="10499" max="10507" width="8.7109375" style="1297" customWidth="1"/>
    <col min="10508" max="10508" width="9.140625" style="1297"/>
    <col min="10509" max="10513" width="10.42578125" style="1297" customWidth="1"/>
    <col min="10514" max="10752" width="9.140625" style="1297"/>
    <col min="10753" max="10753" width="5.7109375" style="1297" customWidth="1"/>
    <col min="10754" max="10754" width="9.7109375" style="1297" customWidth="1"/>
    <col min="10755" max="10763" width="8.7109375" style="1297" customWidth="1"/>
    <col min="10764" max="10764" width="9.140625" style="1297"/>
    <col min="10765" max="10769" width="10.42578125" style="1297" customWidth="1"/>
    <col min="10770" max="11008" width="9.140625" style="1297"/>
    <col min="11009" max="11009" width="5.7109375" style="1297" customWidth="1"/>
    <col min="11010" max="11010" width="9.7109375" style="1297" customWidth="1"/>
    <col min="11011" max="11019" width="8.7109375" style="1297" customWidth="1"/>
    <col min="11020" max="11020" width="9.140625" style="1297"/>
    <col min="11021" max="11025" width="10.42578125" style="1297" customWidth="1"/>
    <col min="11026" max="11264" width="9.140625" style="1297"/>
    <col min="11265" max="11265" width="5.7109375" style="1297" customWidth="1"/>
    <col min="11266" max="11266" width="9.7109375" style="1297" customWidth="1"/>
    <col min="11267" max="11275" width="8.7109375" style="1297" customWidth="1"/>
    <col min="11276" max="11276" width="9.140625" style="1297"/>
    <col min="11277" max="11281" width="10.42578125" style="1297" customWidth="1"/>
    <col min="11282" max="11520" width="9.140625" style="1297"/>
    <col min="11521" max="11521" width="5.7109375" style="1297" customWidth="1"/>
    <col min="11522" max="11522" width="9.7109375" style="1297" customWidth="1"/>
    <col min="11523" max="11531" width="8.7109375" style="1297" customWidth="1"/>
    <col min="11532" max="11532" width="9.140625" style="1297"/>
    <col min="11533" max="11537" width="10.42578125" style="1297" customWidth="1"/>
    <col min="11538" max="11776" width="9.140625" style="1297"/>
    <col min="11777" max="11777" width="5.7109375" style="1297" customWidth="1"/>
    <col min="11778" max="11778" width="9.7109375" style="1297" customWidth="1"/>
    <col min="11779" max="11787" width="8.7109375" style="1297" customWidth="1"/>
    <col min="11788" max="11788" width="9.140625" style="1297"/>
    <col min="11789" max="11793" width="10.42578125" style="1297" customWidth="1"/>
    <col min="11794" max="12032" width="9.140625" style="1297"/>
    <col min="12033" max="12033" width="5.7109375" style="1297" customWidth="1"/>
    <col min="12034" max="12034" width="9.7109375" style="1297" customWidth="1"/>
    <col min="12035" max="12043" width="8.7109375" style="1297" customWidth="1"/>
    <col min="12044" max="12044" width="9.140625" style="1297"/>
    <col min="12045" max="12049" width="10.42578125" style="1297" customWidth="1"/>
    <col min="12050" max="12288" width="9.140625" style="1297"/>
    <col min="12289" max="12289" width="5.7109375" style="1297" customWidth="1"/>
    <col min="12290" max="12290" width="9.7109375" style="1297" customWidth="1"/>
    <col min="12291" max="12299" width="8.7109375" style="1297" customWidth="1"/>
    <col min="12300" max="12300" width="9.140625" style="1297"/>
    <col min="12301" max="12305" width="10.42578125" style="1297" customWidth="1"/>
    <col min="12306" max="12544" width="9.140625" style="1297"/>
    <col min="12545" max="12545" width="5.7109375" style="1297" customWidth="1"/>
    <col min="12546" max="12546" width="9.7109375" style="1297" customWidth="1"/>
    <col min="12547" max="12555" width="8.7109375" style="1297" customWidth="1"/>
    <col min="12556" max="12556" width="9.140625" style="1297"/>
    <col min="12557" max="12561" width="10.42578125" style="1297" customWidth="1"/>
    <col min="12562" max="12800" width="9.140625" style="1297"/>
    <col min="12801" max="12801" width="5.7109375" style="1297" customWidth="1"/>
    <col min="12802" max="12802" width="9.7109375" style="1297" customWidth="1"/>
    <col min="12803" max="12811" width="8.7109375" style="1297" customWidth="1"/>
    <col min="12812" max="12812" width="9.140625" style="1297"/>
    <col min="12813" max="12817" width="10.42578125" style="1297" customWidth="1"/>
    <col min="12818" max="13056" width="9.140625" style="1297"/>
    <col min="13057" max="13057" width="5.7109375" style="1297" customWidth="1"/>
    <col min="13058" max="13058" width="9.7109375" style="1297" customWidth="1"/>
    <col min="13059" max="13067" width="8.7109375" style="1297" customWidth="1"/>
    <col min="13068" max="13068" width="9.140625" style="1297"/>
    <col min="13069" max="13073" width="10.42578125" style="1297" customWidth="1"/>
    <col min="13074" max="13312" width="9.140625" style="1297"/>
    <col min="13313" max="13313" width="5.7109375" style="1297" customWidth="1"/>
    <col min="13314" max="13314" width="9.7109375" style="1297" customWidth="1"/>
    <col min="13315" max="13323" width="8.7109375" style="1297" customWidth="1"/>
    <col min="13324" max="13324" width="9.140625" style="1297"/>
    <col min="13325" max="13329" width="10.42578125" style="1297" customWidth="1"/>
    <col min="13330" max="13568" width="9.140625" style="1297"/>
    <col min="13569" max="13569" width="5.7109375" style="1297" customWidth="1"/>
    <col min="13570" max="13570" width="9.7109375" style="1297" customWidth="1"/>
    <col min="13571" max="13579" width="8.7109375" style="1297" customWidth="1"/>
    <col min="13580" max="13580" width="9.140625" style="1297"/>
    <col min="13581" max="13585" width="10.42578125" style="1297" customWidth="1"/>
    <col min="13586" max="13824" width="9.140625" style="1297"/>
    <col min="13825" max="13825" width="5.7109375" style="1297" customWidth="1"/>
    <col min="13826" max="13826" width="9.7109375" style="1297" customWidth="1"/>
    <col min="13827" max="13835" width="8.7109375" style="1297" customWidth="1"/>
    <col min="13836" max="13836" width="9.140625" style="1297"/>
    <col min="13837" max="13841" width="10.42578125" style="1297" customWidth="1"/>
    <col min="13842" max="14080" width="9.140625" style="1297"/>
    <col min="14081" max="14081" width="5.7109375" style="1297" customWidth="1"/>
    <col min="14082" max="14082" width="9.7109375" style="1297" customWidth="1"/>
    <col min="14083" max="14091" width="8.7109375" style="1297" customWidth="1"/>
    <col min="14092" max="14092" width="9.140625" style="1297"/>
    <col min="14093" max="14097" width="10.42578125" style="1297" customWidth="1"/>
    <col min="14098" max="14336" width="9.140625" style="1297"/>
    <col min="14337" max="14337" width="5.7109375" style="1297" customWidth="1"/>
    <col min="14338" max="14338" width="9.7109375" style="1297" customWidth="1"/>
    <col min="14339" max="14347" width="8.7109375" style="1297" customWidth="1"/>
    <col min="14348" max="14348" width="9.140625" style="1297"/>
    <col min="14349" max="14353" width="10.42578125" style="1297" customWidth="1"/>
    <col min="14354" max="14592" width="9.140625" style="1297"/>
    <col min="14593" max="14593" width="5.7109375" style="1297" customWidth="1"/>
    <col min="14594" max="14594" width="9.7109375" style="1297" customWidth="1"/>
    <col min="14595" max="14603" width="8.7109375" style="1297" customWidth="1"/>
    <col min="14604" max="14604" width="9.140625" style="1297"/>
    <col min="14605" max="14609" width="10.42578125" style="1297" customWidth="1"/>
    <col min="14610" max="14848" width="9.140625" style="1297"/>
    <col min="14849" max="14849" width="5.7109375" style="1297" customWidth="1"/>
    <col min="14850" max="14850" width="9.7109375" style="1297" customWidth="1"/>
    <col min="14851" max="14859" width="8.7109375" style="1297" customWidth="1"/>
    <col min="14860" max="14860" width="9.140625" style="1297"/>
    <col min="14861" max="14865" width="10.42578125" style="1297" customWidth="1"/>
    <col min="14866" max="15104" width="9.140625" style="1297"/>
    <col min="15105" max="15105" width="5.7109375" style="1297" customWidth="1"/>
    <col min="15106" max="15106" width="9.7109375" style="1297" customWidth="1"/>
    <col min="15107" max="15115" width="8.7109375" style="1297" customWidth="1"/>
    <col min="15116" max="15116" width="9.140625" style="1297"/>
    <col min="15117" max="15121" width="10.42578125" style="1297" customWidth="1"/>
    <col min="15122" max="15360" width="9.140625" style="1297"/>
    <col min="15361" max="15361" width="5.7109375" style="1297" customWidth="1"/>
    <col min="15362" max="15362" width="9.7109375" style="1297" customWidth="1"/>
    <col min="15363" max="15371" width="8.7109375" style="1297" customWidth="1"/>
    <col min="15372" max="15372" width="9.140625" style="1297"/>
    <col min="15373" max="15377" width="10.42578125" style="1297" customWidth="1"/>
    <col min="15378" max="15616" width="9.140625" style="1297"/>
    <col min="15617" max="15617" width="5.7109375" style="1297" customWidth="1"/>
    <col min="15618" max="15618" width="9.7109375" style="1297" customWidth="1"/>
    <col min="15619" max="15627" width="8.7109375" style="1297" customWidth="1"/>
    <col min="15628" max="15628" width="9.140625" style="1297"/>
    <col min="15629" max="15633" width="10.42578125" style="1297" customWidth="1"/>
    <col min="15634" max="15872" width="9.140625" style="1297"/>
    <col min="15873" max="15873" width="5.7109375" style="1297" customWidth="1"/>
    <col min="15874" max="15874" width="9.7109375" style="1297" customWidth="1"/>
    <col min="15875" max="15883" width="8.7109375" style="1297" customWidth="1"/>
    <col min="15884" max="15884" width="9.140625" style="1297"/>
    <col min="15885" max="15889" width="10.42578125" style="1297" customWidth="1"/>
    <col min="15890" max="16128" width="9.140625" style="1297"/>
    <col min="16129" max="16129" width="5.7109375" style="1297" customWidth="1"/>
    <col min="16130" max="16130" width="9.7109375" style="1297" customWidth="1"/>
    <col min="16131" max="16139" width="8.7109375" style="1297" customWidth="1"/>
    <col min="16140" max="16140" width="9.140625" style="1297"/>
    <col min="16141" max="16145" width="10.42578125" style="1297" customWidth="1"/>
    <col min="16146" max="16384" width="9.140625" style="1297"/>
  </cols>
  <sheetData>
    <row r="1" spans="1:17" s="1273" customFormat="1" ht="15" customHeight="1">
      <c r="A1" s="1272"/>
      <c r="B1" s="2497"/>
      <c r="C1" s="2498"/>
      <c r="D1" s="2379" t="s">
        <v>9</v>
      </c>
      <c r="E1" s="2380"/>
      <c r="F1" s="2380"/>
      <c r="G1" s="2380"/>
      <c r="H1" s="2380"/>
      <c r="I1" s="2380"/>
      <c r="J1" s="2380"/>
      <c r="K1" s="2381"/>
    </row>
    <row r="2" spans="1:17" s="1273" customFormat="1" ht="15" customHeight="1">
      <c r="A2" s="1274"/>
      <c r="B2" s="2499"/>
      <c r="C2" s="2500"/>
      <c r="D2" s="2382" t="s">
        <v>734</v>
      </c>
      <c r="E2" s="2383"/>
      <c r="F2" s="2383"/>
      <c r="G2" s="2383"/>
      <c r="H2" s="2383"/>
      <c r="I2" s="2383"/>
      <c r="J2" s="2383"/>
      <c r="K2" s="2384"/>
    </row>
    <row r="3" spans="1:17" s="1273" customFormat="1" ht="15" customHeight="1">
      <c r="A3" s="1274"/>
      <c r="B3" s="2499"/>
      <c r="C3" s="2500"/>
      <c r="D3" s="2385" t="s">
        <v>735</v>
      </c>
      <c r="E3" s="2386"/>
      <c r="F3" s="2386"/>
      <c r="G3" s="2386"/>
      <c r="H3" s="2386"/>
      <c r="I3" s="2386"/>
      <c r="J3" s="2386"/>
      <c r="K3" s="2387"/>
    </row>
    <row r="4" spans="1:17" s="1273" customFormat="1" ht="12.95" customHeight="1">
      <c r="A4" s="1274"/>
      <c r="B4" s="2499"/>
      <c r="C4" s="2500"/>
      <c r="D4" s="2388" t="s">
        <v>805</v>
      </c>
      <c r="E4" s="2389"/>
      <c r="F4" s="2389"/>
      <c r="G4" s="2389"/>
      <c r="H4" s="2389"/>
      <c r="I4" s="2390"/>
      <c r="J4" s="2388" t="s">
        <v>806</v>
      </c>
      <c r="K4" s="2390"/>
    </row>
    <row r="5" spans="1:17" s="1273" customFormat="1" ht="12.95" customHeight="1">
      <c r="A5" s="1275"/>
      <c r="B5" s="2501"/>
      <c r="C5" s="2502"/>
      <c r="D5" s="2388" t="s">
        <v>804</v>
      </c>
      <c r="E5" s="2389"/>
      <c r="F5" s="2389"/>
      <c r="G5" s="2389"/>
      <c r="H5" s="2389"/>
      <c r="I5" s="2389"/>
      <c r="J5" s="2389"/>
      <c r="K5" s="2390"/>
    </row>
    <row r="6" spans="1:17" s="1276" customFormat="1" ht="15" customHeight="1">
      <c r="A6" s="2391" t="s">
        <v>5</v>
      </c>
      <c r="B6" s="2392"/>
      <c r="C6" s="2392"/>
      <c r="D6" s="2393" t="str">
        <f>+IF('Gradacion '!E6="","",'Gradacion '!E6)</f>
        <v/>
      </c>
      <c r="E6" s="2393"/>
      <c r="F6" s="2393"/>
      <c r="G6" s="2393"/>
      <c r="H6" s="2394" t="s">
        <v>324</v>
      </c>
      <c r="I6" s="2394"/>
      <c r="J6" s="2395"/>
      <c r="K6" s="2495"/>
      <c r="L6" s="1360"/>
    </row>
    <row r="7" spans="1:17" s="1276" customFormat="1" ht="15" customHeight="1">
      <c r="A7" s="2396" t="s">
        <v>615</v>
      </c>
      <c r="B7" s="2397"/>
      <c r="C7" s="2397"/>
      <c r="D7" s="2398" t="str">
        <f>+IF(D6="","","N/A")</f>
        <v/>
      </c>
      <c r="E7" s="2398"/>
      <c r="F7" s="2398"/>
      <c r="G7" s="2398"/>
      <c r="H7" s="2397" t="s">
        <v>617</v>
      </c>
      <c r="I7" s="2397"/>
      <c r="J7" s="2399" t="str">
        <f>+IF(D6="","","N/A")</f>
        <v/>
      </c>
      <c r="K7" s="2496"/>
      <c r="L7" s="1361"/>
    </row>
    <row r="8" spans="1:17" s="1276" customFormat="1" ht="15" customHeight="1">
      <c r="A8" s="2396" t="s">
        <v>616</v>
      </c>
      <c r="B8" s="2397"/>
      <c r="C8" s="2397"/>
      <c r="D8" s="2398" t="str">
        <f>+IF('Gradacion '!O7="","",'Gradacion '!O7)</f>
        <v/>
      </c>
      <c r="E8" s="2398"/>
      <c r="F8" s="2398"/>
      <c r="G8" s="2398"/>
      <c r="H8" s="2397" t="s">
        <v>618</v>
      </c>
      <c r="I8" s="2397"/>
      <c r="J8" s="2400" t="str">
        <f>+IF(D6="","","N/A")</f>
        <v/>
      </c>
      <c r="K8" s="2494"/>
      <c r="L8" s="1362"/>
    </row>
    <row r="9" spans="1:17" s="1276" customFormat="1" ht="15" customHeight="1">
      <c r="A9" s="2396" t="s">
        <v>465</v>
      </c>
      <c r="B9" s="2397"/>
      <c r="C9" s="2397"/>
      <c r="D9" s="2398" t="str">
        <f>+IF('Gradacion '!E8="","",'Gradacion '!E8)</f>
        <v/>
      </c>
      <c r="E9" s="2398"/>
      <c r="F9" s="2398"/>
      <c r="G9" s="2398"/>
      <c r="H9" s="2397" t="s">
        <v>637</v>
      </c>
      <c r="I9" s="2397"/>
      <c r="J9" s="2400" t="str">
        <f>+IF(D6="","","N/A")</f>
        <v/>
      </c>
      <c r="K9" s="2494"/>
      <c r="L9" s="1362"/>
    </row>
    <row r="10" spans="1:17" s="1276" customFormat="1" ht="15" customHeight="1">
      <c r="A10" s="2406" t="s">
        <v>6</v>
      </c>
      <c r="B10" s="2407"/>
      <c r="C10" s="2407"/>
      <c r="D10" s="2408" t="str">
        <f>+IF('Gradacion '!E9="","",'Gradacion '!E9)</f>
        <v/>
      </c>
      <c r="E10" s="2408"/>
      <c r="F10" s="2408"/>
      <c r="G10" s="2408"/>
      <c r="H10" s="2401" t="s">
        <v>40</v>
      </c>
      <c r="I10" s="2401"/>
      <c r="J10" s="2402" t="str">
        <f>+IF('Gradacion '!AB7="","",'Gradacion '!AB7)</f>
        <v/>
      </c>
      <c r="K10" s="2491"/>
      <c r="L10" s="1363"/>
    </row>
    <row r="11" spans="1:17" s="1276" customFormat="1" ht="15" customHeight="1">
      <c r="A11" s="2406"/>
      <c r="B11" s="2407"/>
      <c r="C11" s="2407"/>
      <c r="D11" s="2408"/>
      <c r="E11" s="2408"/>
      <c r="F11" s="2408"/>
      <c r="G11" s="2408"/>
      <c r="H11" s="2409" t="s">
        <v>627</v>
      </c>
      <c r="I11" s="2409"/>
      <c r="J11" s="2492"/>
      <c r="K11" s="2493"/>
      <c r="L11" s="1364"/>
    </row>
    <row r="12" spans="1:17" s="1283" customFormat="1" ht="14.1" customHeight="1">
      <c r="A12" s="2403" t="s">
        <v>620</v>
      </c>
      <c r="B12" s="2404"/>
      <c r="C12" s="2404"/>
      <c r="D12" s="2410" t="str">
        <f>+IF(D6="","","N/A")</f>
        <v/>
      </c>
      <c r="E12" s="2410"/>
      <c r="F12" s="1355" t="s">
        <v>19</v>
      </c>
      <c r="G12" s="1305" t="str">
        <f>+IF('Gradacion '!O8="","",'Gradacion '!O8)</f>
        <v/>
      </c>
      <c r="H12" s="2411" t="s">
        <v>633</v>
      </c>
      <c r="I12" s="2411"/>
      <c r="J12" s="2405" t="str">
        <f>+IF('Gradacion '!AB9="","",'Gradacion '!AB9)</f>
        <v/>
      </c>
      <c r="K12" s="2485"/>
      <c r="L12" s="1363"/>
    </row>
    <row r="13" spans="1:17" s="1283" customFormat="1" ht="14.1" customHeight="1">
      <c r="A13" s="2486"/>
      <c r="B13" s="2487"/>
      <c r="C13" s="2487"/>
      <c r="D13" s="2488"/>
      <c r="E13" s="2488"/>
      <c r="F13" s="1354"/>
      <c r="G13" s="2489"/>
      <c r="H13" s="2489"/>
      <c r="I13" s="2490"/>
      <c r="J13" s="2490"/>
      <c r="K13" s="1363"/>
      <c r="L13" s="1363"/>
    </row>
    <row r="14" spans="1:17" s="1283" customFormat="1" ht="24.95" customHeight="1">
      <c r="A14" s="1277"/>
      <c r="B14" s="1278"/>
      <c r="C14" s="2418" t="s">
        <v>737</v>
      </c>
      <c r="D14" s="2419"/>
      <c r="E14" s="2419"/>
      <c r="F14" s="2419"/>
      <c r="G14" s="2419"/>
      <c r="H14" s="2419"/>
      <c r="I14" s="2419"/>
      <c r="J14" s="2420"/>
      <c r="K14" s="1282"/>
    </row>
    <row r="15" spans="1:17" s="1283" customFormat="1" ht="24.95" customHeight="1">
      <c r="A15" s="1277"/>
      <c r="B15" s="1284"/>
      <c r="C15" s="2421" t="s">
        <v>166</v>
      </c>
      <c r="D15" s="2422"/>
      <c r="E15" s="2422"/>
      <c r="F15" s="2422"/>
      <c r="G15" s="1285" t="s">
        <v>167</v>
      </c>
      <c r="H15" s="2423"/>
      <c r="I15" s="2423"/>
      <c r="J15" s="2423"/>
      <c r="K15" s="1286"/>
      <c r="M15" s="2478" t="s">
        <v>738</v>
      </c>
      <c r="N15" s="2481" t="s">
        <v>739</v>
      </c>
      <c r="O15" s="2482"/>
      <c r="P15" s="2481" t="s">
        <v>740</v>
      </c>
      <c r="Q15" s="2482"/>
    </row>
    <row r="16" spans="1:17" s="1283" customFormat="1" ht="24.95" customHeight="1">
      <c r="A16" s="1277"/>
      <c r="B16" s="1284"/>
      <c r="C16" s="2413" t="s">
        <v>741</v>
      </c>
      <c r="D16" s="2414"/>
      <c r="E16" s="2414"/>
      <c r="F16" s="2414"/>
      <c r="G16" s="1287"/>
      <c r="H16" s="2415"/>
      <c r="I16" s="2415"/>
      <c r="J16" s="2415"/>
      <c r="K16" s="1286"/>
      <c r="M16" s="2479"/>
      <c r="N16" s="2483" t="s">
        <v>742</v>
      </c>
      <c r="O16" s="2478" t="s">
        <v>743</v>
      </c>
      <c r="P16" s="2483" t="s">
        <v>742</v>
      </c>
      <c r="Q16" s="2478" t="s">
        <v>743</v>
      </c>
    </row>
    <row r="17" spans="1:17" s="1283" customFormat="1" ht="24.95" customHeight="1">
      <c r="A17" s="1277"/>
      <c r="B17" s="1284"/>
      <c r="C17" s="2413" t="s">
        <v>403</v>
      </c>
      <c r="D17" s="2414"/>
      <c r="E17" s="2414"/>
      <c r="F17" s="2414"/>
      <c r="G17" s="1287" t="s">
        <v>167</v>
      </c>
      <c r="H17" s="2415"/>
      <c r="I17" s="2415"/>
      <c r="J17" s="2415"/>
      <c r="K17" s="1286"/>
      <c r="M17" s="2480"/>
      <c r="N17" s="2484"/>
      <c r="O17" s="2480"/>
      <c r="P17" s="2484"/>
      <c r="Q17" s="2480"/>
    </row>
    <row r="18" spans="1:17" s="1283" customFormat="1" ht="24.95" customHeight="1">
      <c r="A18" s="1277"/>
      <c r="B18" s="1284"/>
      <c r="C18" s="2424" t="s">
        <v>744</v>
      </c>
      <c r="D18" s="2425"/>
      <c r="E18" s="2425"/>
      <c r="F18" s="2425"/>
      <c r="G18" s="1288" t="s">
        <v>169</v>
      </c>
      <c r="H18" s="2426"/>
      <c r="I18" s="2426"/>
      <c r="J18" s="2426"/>
      <c r="K18" s="1289"/>
      <c r="M18" s="1356" t="s">
        <v>356</v>
      </c>
      <c r="N18" s="1356">
        <v>5</v>
      </c>
      <c r="O18" s="1356">
        <v>10</v>
      </c>
      <c r="P18" s="1356">
        <v>50</v>
      </c>
      <c r="Q18" s="1356">
        <v>10</v>
      </c>
    </row>
    <row r="19" spans="1:17" s="1283" customFormat="1" ht="24.95" customHeight="1">
      <c r="A19" s="1277"/>
      <c r="B19" s="1284"/>
      <c r="C19" s="2429" t="s">
        <v>784</v>
      </c>
      <c r="D19" s="2430"/>
      <c r="E19" s="2430"/>
      <c r="F19" s="2430"/>
      <c r="G19" s="2431"/>
      <c r="H19" s="2415"/>
      <c r="I19" s="2415"/>
      <c r="J19" s="2415"/>
      <c r="K19" s="1286"/>
      <c r="M19" s="1356" t="s">
        <v>58</v>
      </c>
      <c r="N19" s="1356">
        <v>10</v>
      </c>
      <c r="O19" s="1356">
        <v>10</v>
      </c>
      <c r="P19" s="1356">
        <v>10</v>
      </c>
      <c r="Q19" s="1356">
        <v>10</v>
      </c>
    </row>
    <row r="20" spans="1:17" s="1283" customFormat="1" ht="24.75" customHeight="1">
      <c r="A20" s="1277"/>
      <c r="B20" s="1284"/>
      <c r="C20" s="2427" t="s">
        <v>785</v>
      </c>
      <c r="D20" s="2428"/>
      <c r="E20" s="2428"/>
      <c r="F20" s="2428"/>
      <c r="G20" s="1357"/>
      <c r="H20" s="2415"/>
      <c r="I20" s="2415"/>
      <c r="J20" s="2415"/>
      <c r="K20" s="1286"/>
      <c r="M20" s="1356" t="s">
        <v>61</v>
      </c>
      <c r="N20" s="1356">
        <v>250</v>
      </c>
      <c r="O20" s="1356">
        <v>1</v>
      </c>
      <c r="P20" s="1356">
        <v>2.5</v>
      </c>
      <c r="Q20" s="1356">
        <v>1</v>
      </c>
    </row>
    <row r="21" spans="1:17" s="1283" customFormat="1" ht="24.75" customHeight="1">
      <c r="A21" s="1277"/>
      <c r="B21" s="1284"/>
      <c r="C21" s="2373" t="s">
        <v>745</v>
      </c>
      <c r="D21" s="2374"/>
      <c r="E21" s="2374"/>
      <c r="F21" s="2374"/>
      <c r="G21" s="1291" t="s">
        <v>786</v>
      </c>
      <c r="H21" s="2415"/>
      <c r="I21" s="2415"/>
      <c r="J21" s="2415"/>
      <c r="K21" s="1286"/>
      <c r="M21" s="1356" t="s">
        <v>65</v>
      </c>
      <c r="N21" s="1356">
        <v>50</v>
      </c>
      <c r="O21" s="1356">
        <v>0.1</v>
      </c>
      <c r="P21" s="1356">
        <f>500/1000</f>
        <v>0.5</v>
      </c>
      <c r="Q21" s="1356">
        <v>0.1</v>
      </c>
    </row>
    <row r="22" spans="1:17" s="1283" customFormat="1" ht="24.75" customHeight="1">
      <c r="A22" s="1277"/>
      <c r="B22" s="1284"/>
      <c r="C22" s="2375"/>
      <c r="D22" s="2376"/>
      <c r="E22" s="2376"/>
      <c r="F22" s="2376"/>
      <c r="G22" s="1291" t="s">
        <v>787</v>
      </c>
      <c r="H22" s="2415" t="s">
        <v>0</v>
      </c>
      <c r="I22" s="2415"/>
      <c r="J22" s="2415"/>
      <c r="K22" s="1289"/>
      <c r="M22" s="1356" t="s">
        <v>747</v>
      </c>
      <c r="N22" s="1356">
        <v>20</v>
      </c>
      <c r="O22" s="1356">
        <v>0.1</v>
      </c>
      <c r="P22" s="1356">
        <v>0.1</v>
      </c>
      <c r="Q22" s="1356">
        <v>0.1</v>
      </c>
    </row>
    <row r="23" spans="1:17" s="1283" customFormat="1" ht="24.95" customHeight="1">
      <c r="A23" s="1277"/>
      <c r="B23" s="1284"/>
      <c r="C23" s="2424" t="s">
        <v>746</v>
      </c>
      <c r="D23" s="2425"/>
      <c r="E23" s="2425"/>
      <c r="F23" s="2425"/>
      <c r="G23" s="1288" t="s">
        <v>91</v>
      </c>
      <c r="H23" s="2437"/>
      <c r="I23" s="2437"/>
      <c r="J23" s="2437"/>
      <c r="K23" s="1289"/>
      <c r="M23" s="1356" t="s">
        <v>747</v>
      </c>
      <c r="N23" s="1356">
        <v>20</v>
      </c>
      <c r="O23" s="1356">
        <v>0.1</v>
      </c>
      <c r="P23" s="1356">
        <v>0.1</v>
      </c>
      <c r="Q23" s="1356">
        <v>0.1</v>
      </c>
    </row>
    <row r="24" spans="1:17" s="1283" customFormat="1" ht="24.95" customHeight="1">
      <c r="A24" s="1277"/>
      <c r="B24" s="1284"/>
      <c r="C24" s="2424" t="s">
        <v>748</v>
      </c>
      <c r="D24" s="2425"/>
      <c r="E24" s="2425"/>
      <c r="F24" s="2425"/>
      <c r="G24" s="1288" t="s">
        <v>91</v>
      </c>
      <c r="H24" s="2437"/>
      <c r="I24" s="2437"/>
      <c r="J24" s="2437"/>
      <c r="K24" s="1289"/>
      <c r="M24" s="1356" t="s">
        <v>749</v>
      </c>
      <c r="N24" s="1356">
        <v>20</v>
      </c>
      <c r="O24" s="1356">
        <v>0.1</v>
      </c>
      <c r="P24" s="1356">
        <v>0.02</v>
      </c>
      <c r="Q24" s="1356">
        <v>1E-3</v>
      </c>
    </row>
    <row r="25" spans="1:17" s="1283" customFormat="1" ht="24.95" customHeight="1">
      <c r="A25" s="1277"/>
      <c r="B25" s="1284"/>
      <c r="C25" s="2424" t="s">
        <v>794</v>
      </c>
      <c r="D25" s="2425"/>
      <c r="E25" s="2425"/>
      <c r="F25" s="2425"/>
      <c r="G25" s="1288" t="s">
        <v>91</v>
      </c>
      <c r="H25" s="2437"/>
      <c r="I25" s="2437"/>
      <c r="J25" s="2437"/>
      <c r="K25" s="1289"/>
    </row>
    <row r="26" spans="1:17" s="1283" customFormat="1" ht="24.95" customHeight="1">
      <c r="A26" s="1277"/>
      <c r="B26" s="1284"/>
      <c r="C26" s="2438" t="s">
        <v>751</v>
      </c>
      <c r="D26" s="2439"/>
      <c r="E26" s="2439"/>
      <c r="F26" s="2439"/>
      <c r="G26" s="1292" t="s">
        <v>95</v>
      </c>
      <c r="H26" s="2440" t="str">
        <f>+IF(H23="","",((H23-H24)/(H24-H25))*100)</f>
        <v/>
      </c>
      <c r="I26" s="2440"/>
      <c r="J26" s="2440"/>
      <c r="K26" s="1293"/>
    </row>
    <row r="27" spans="1:17" s="89" customFormat="1" ht="14.1" customHeight="1">
      <c r="A27" s="1294"/>
      <c r="B27" s="2441"/>
      <c r="C27" s="2441"/>
      <c r="D27" s="2441"/>
      <c r="E27" s="2441"/>
      <c r="F27" s="2441"/>
      <c r="G27" s="2441"/>
      <c r="H27" s="2441"/>
      <c r="I27" s="2441"/>
      <c r="J27" s="2441"/>
      <c r="K27" s="2443"/>
      <c r="L27" s="1068"/>
    </row>
    <row r="28" spans="1:17" s="84" customFormat="1" ht="96" customHeight="1">
      <c r="A28" s="2444" t="s">
        <v>20</v>
      </c>
      <c r="B28" s="2445"/>
      <c r="C28" s="2476"/>
      <c r="D28" s="2476"/>
      <c r="E28" s="2476"/>
      <c r="F28" s="2476"/>
      <c r="G28" s="2476"/>
      <c r="H28" s="2476"/>
      <c r="I28" s="2476"/>
      <c r="J28" s="2476"/>
      <c r="K28" s="2477"/>
    </row>
    <row r="29" spans="1:17" s="84" customFormat="1" ht="14.1" customHeight="1">
      <c r="A29" s="2432"/>
      <c r="B29" s="2433"/>
      <c r="C29" s="2434" t="s">
        <v>10</v>
      </c>
      <c r="D29" s="2435"/>
      <c r="E29" s="2436"/>
      <c r="F29" s="2434" t="s">
        <v>22</v>
      </c>
      <c r="G29" s="2435"/>
      <c r="H29" s="2436"/>
      <c r="I29" s="2434" t="s">
        <v>23</v>
      </c>
      <c r="J29" s="2435"/>
      <c r="K29" s="2436"/>
    </row>
    <row r="30" spans="1:17" s="84" customFormat="1" ht="39.950000000000003" customHeight="1">
      <c r="A30" s="2448" t="s">
        <v>13</v>
      </c>
      <c r="B30" s="2449"/>
      <c r="C30" s="2343"/>
      <c r="D30" s="2344"/>
      <c r="E30" s="2345"/>
      <c r="F30" s="2450"/>
      <c r="G30" s="2451"/>
      <c r="H30" s="2452"/>
      <c r="I30" s="2450"/>
      <c r="J30" s="2451"/>
      <c r="K30" s="2452"/>
    </row>
    <row r="31" spans="1:17" s="84" customFormat="1" ht="12.95" customHeight="1">
      <c r="A31" s="2453" t="s">
        <v>621</v>
      </c>
      <c r="B31" s="2454"/>
      <c r="C31" s="2455" t="s">
        <v>560</v>
      </c>
      <c r="D31" s="2465"/>
      <c r="E31" s="2466"/>
      <c r="F31" s="2455" t="s">
        <v>560</v>
      </c>
      <c r="G31" s="2465"/>
      <c r="H31" s="2466"/>
      <c r="I31" s="2458" t="s">
        <v>560</v>
      </c>
      <c r="J31" s="2461"/>
      <c r="K31" s="2467"/>
    </row>
    <row r="32" spans="1:17" s="84" customFormat="1" ht="12.95" customHeight="1" thickBot="1">
      <c r="A32" s="2468" t="s">
        <v>14</v>
      </c>
      <c r="B32" s="2469"/>
      <c r="C32" s="2470" t="str">
        <f>IF(C31="--","",VLOOKUP(C31,[15]firmas!A2:B26,2,0))</f>
        <v/>
      </c>
      <c r="D32" s="2471"/>
      <c r="E32" s="2472"/>
      <c r="F32" s="2470" t="str">
        <f>IF(F31="--","",VLOOKUP(F31,firmas!A33:B35,2,0))</f>
        <v/>
      </c>
      <c r="G32" s="2471"/>
      <c r="H32" s="2472"/>
      <c r="I32" s="2473" t="str">
        <f>IF(I31="--","",VLOOKUP(I31,[28]firmas!A33:B34,2))</f>
        <v/>
      </c>
      <c r="J32" s="2474"/>
      <c r="K32" s="2475"/>
    </row>
    <row r="33" spans="1:21" s="91" customFormat="1" ht="18" customHeight="1" thickTop="1" thickBot="1">
      <c r="A33" s="2207" t="s">
        <v>24</v>
      </c>
      <c r="B33" s="2207"/>
      <c r="C33" s="2207"/>
      <c r="D33" s="2207"/>
      <c r="E33" s="2207"/>
      <c r="F33" s="2207"/>
      <c r="G33" s="2207"/>
      <c r="H33" s="2207"/>
      <c r="I33" s="2207"/>
      <c r="J33" s="2207"/>
      <c r="K33" s="2207"/>
      <c r="L33" s="1358"/>
      <c r="M33" s="1358"/>
      <c r="N33" s="1358"/>
      <c r="O33" s="1358"/>
      <c r="P33" s="1358"/>
      <c r="Q33" s="1358"/>
      <c r="R33" s="1358"/>
      <c r="S33" s="1358"/>
      <c r="T33" s="1358"/>
      <c r="U33" s="1358"/>
    </row>
    <row r="34" spans="1:21" s="84" customFormat="1" ht="18.75" customHeight="1" thickTop="1">
      <c r="A34" s="1295"/>
      <c r="B34" s="2464" t="s">
        <v>25</v>
      </c>
      <c r="C34" s="2464"/>
      <c r="D34" s="2464"/>
      <c r="E34" s="2464"/>
      <c r="F34" s="2464"/>
      <c r="G34" s="2464"/>
      <c r="H34" s="2464"/>
      <c r="I34" s="2464"/>
      <c r="J34" s="2464"/>
      <c r="K34" s="2464"/>
      <c r="L34" s="1073"/>
      <c r="M34" s="1073"/>
      <c r="N34" s="1073"/>
      <c r="O34" s="1073"/>
      <c r="P34" s="1073"/>
      <c r="Q34" s="1073"/>
      <c r="R34" s="1073"/>
      <c r="S34" s="1073"/>
      <c r="T34" s="1073"/>
      <c r="U34" s="1073"/>
    </row>
    <row r="35" spans="1:21" s="84" customFormat="1" ht="30" customHeight="1">
      <c r="A35" s="1296"/>
      <c r="B35" s="1783" t="s">
        <v>16</v>
      </c>
      <c r="C35" s="1783"/>
      <c r="D35" s="1783"/>
      <c r="E35" s="1783"/>
      <c r="F35" s="1783"/>
      <c r="G35" s="1783"/>
      <c r="H35" s="1783"/>
      <c r="I35" s="1783"/>
      <c r="J35" s="1783"/>
      <c r="K35" s="1783"/>
      <c r="L35" s="1074"/>
      <c r="M35" s="1074"/>
      <c r="N35" s="1074"/>
      <c r="O35" s="1074"/>
      <c r="P35" s="1074"/>
      <c r="Q35" s="1074"/>
      <c r="R35" s="1074"/>
      <c r="S35" s="1074"/>
      <c r="T35" s="1074"/>
      <c r="U35" s="1074"/>
    </row>
    <row r="36" spans="1:21" ht="10.5" customHeight="1"/>
    <row r="39" spans="1:21">
      <c r="B39" s="1298"/>
      <c r="C39" s="1298"/>
      <c r="D39" s="1298"/>
    </row>
  </sheetData>
  <sheetProtection algorithmName="SHA-512" hashValue="WtUWsmCh3SgYjtaWMkLCzOh19ZntysMKGIzZm5zgHT6us9MEFQ0Q9OTzmGVht62urPH2nKnVJp7a5nAKAwhpKA==" saltValue="Ixha+Dc8G0pigwPeNGpLmw==" spinCount="100000" sheet="1" objects="1" scenarios="1"/>
  <mergeCells count="90">
    <mergeCell ref="B1:C5"/>
    <mergeCell ref="D1:K1"/>
    <mergeCell ref="D2:K2"/>
    <mergeCell ref="D3:K3"/>
    <mergeCell ref="D4:I4"/>
    <mergeCell ref="J4:K4"/>
    <mergeCell ref="D5:K5"/>
    <mergeCell ref="A6:C6"/>
    <mergeCell ref="D6:G6"/>
    <mergeCell ref="H6:I6"/>
    <mergeCell ref="J6:K6"/>
    <mergeCell ref="A7:C7"/>
    <mergeCell ref="D7:G7"/>
    <mergeCell ref="H7:I7"/>
    <mergeCell ref="J7:K7"/>
    <mergeCell ref="A8:C8"/>
    <mergeCell ref="D8:G8"/>
    <mergeCell ref="H8:I8"/>
    <mergeCell ref="J8:K8"/>
    <mergeCell ref="A9:C9"/>
    <mergeCell ref="D9:G9"/>
    <mergeCell ref="H9:I9"/>
    <mergeCell ref="J9:K9"/>
    <mergeCell ref="A10:C11"/>
    <mergeCell ref="D10:G11"/>
    <mergeCell ref="H10:I10"/>
    <mergeCell ref="J10:K10"/>
    <mergeCell ref="H11:I11"/>
    <mergeCell ref="J11:K11"/>
    <mergeCell ref="A12:C12"/>
    <mergeCell ref="D12:E12"/>
    <mergeCell ref="H12:I12"/>
    <mergeCell ref="J12:K12"/>
    <mergeCell ref="A13:C13"/>
    <mergeCell ref="D13:E13"/>
    <mergeCell ref="G13:H13"/>
    <mergeCell ref="I13:J13"/>
    <mergeCell ref="P15:Q15"/>
    <mergeCell ref="C16:F16"/>
    <mergeCell ref="H16:J16"/>
    <mergeCell ref="N16:N17"/>
    <mergeCell ref="O16:O17"/>
    <mergeCell ref="P16:P17"/>
    <mergeCell ref="Q16:Q17"/>
    <mergeCell ref="C14:J14"/>
    <mergeCell ref="C15:F15"/>
    <mergeCell ref="H15:J15"/>
    <mergeCell ref="M15:M17"/>
    <mergeCell ref="N15:O15"/>
    <mergeCell ref="C17:F17"/>
    <mergeCell ref="H17:J17"/>
    <mergeCell ref="C18:F18"/>
    <mergeCell ref="H18:J18"/>
    <mergeCell ref="C19:G19"/>
    <mergeCell ref="H19:J19"/>
    <mergeCell ref="C20:F20"/>
    <mergeCell ref="H20:J20"/>
    <mergeCell ref="C21:F22"/>
    <mergeCell ref="H21:J21"/>
    <mergeCell ref="H22:J22"/>
    <mergeCell ref="A29:B29"/>
    <mergeCell ref="C29:E29"/>
    <mergeCell ref="F29:H29"/>
    <mergeCell ref="I29:K29"/>
    <mergeCell ref="C23:F23"/>
    <mergeCell ref="H23:J23"/>
    <mergeCell ref="C24:F24"/>
    <mergeCell ref="H24:J24"/>
    <mergeCell ref="C25:F25"/>
    <mergeCell ref="H25:J25"/>
    <mergeCell ref="C26:F26"/>
    <mergeCell ref="H26:J26"/>
    <mergeCell ref="B27:K27"/>
    <mergeCell ref="A28:B28"/>
    <mergeCell ref="C28:K28"/>
    <mergeCell ref="A30:B30"/>
    <mergeCell ref="C30:E30"/>
    <mergeCell ref="F30:H30"/>
    <mergeCell ref="I30:K30"/>
    <mergeCell ref="A31:B31"/>
    <mergeCell ref="C31:E31"/>
    <mergeCell ref="F31:H31"/>
    <mergeCell ref="I31:K31"/>
    <mergeCell ref="B35:K35"/>
    <mergeCell ref="A32:B32"/>
    <mergeCell ref="C32:E32"/>
    <mergeCell ref="F32:H32"/>
    <mergeCell ref="I32:K32"/>
    <mergeCell ref="A33:K33"/>
    <mergeCell ref="B34:K34"/>
  </mergeCells>
  <printOptions horizontalCentered="1"/>
  <pageMargins left="0.59055118110236227" right="0.19685039370078741" top="0" bottom="0" header="0" footer="0.78740157480314965"/>
  <pageSetup scale="92" orientation="portrait" horizontalDpi="300" verticalDpi="360" r:id="rId1"/>
  <headerFooter>
    <oddFooter>&amp;L&amp;"Arial,Normal"&amp;6Calle 26 No. 57-41 Torre 8 Pisos 7-8 CEMSA - CP: 1113111            
Pbx: 3779555  - Información: Línea 195     
www.umv.gov.co111311&amp;C&amp;"Arial,Normal"&amp;6GLAB-FM-003
Página 1 de 1</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firmas!$A$37:$A$40</xm:f>
          </x14:formula1>
          <xm:sqref>I31:K31</xm:sqref>
        </x14:dataValidation>
        <x14:dataValidation type="list" allowBlank="1" showInputMessage="1" showErrorMessage="1">
          <x14:formula1>
            <xm:f>firmas!$A$2:$A$32</xm:f>
          </x14:formula1>
          <xm:sqref>C31:E31</xm:sqref>
        </x14:dataValidation>
        <x14:dataValidation type="list" allowBlank="1" showInputMessage="1" showErrorMessage="1">
          <x14:formula1>
            <xm:f>firmas!$A$33:$A$36</xm:f>
          </x14:formula1>
          <xm:sqref>F31:H31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S65"/>
  <sheetViews>
    <sheetView showGridLines="0" showZeros="0" view="pageBreakPreview" zoomScaleSheetLayoutView="100" workbookViewId="0">
      <selection activeCell="E17" sqref="E17:X17"/>
    </sheetView>
  </sheetViews>
  <sheetFormatPr baseColWidth="10" defaultColWidth="2.7109375" defaultRowHeight="13.5" customHeight="1"/>
  <cols>
    <col min="1" max="3" width="3" style="127" customWidth="1"/>
    <col min="4" max="4" width="3.85546875" style="127" customWidth="1"/>
    <col min="5" max="7" width="3" style="127" customWidth="1"/>
    <col min="8" max="8" width="3.5703125" style="127" customWidth="1"/>
    <col min="9" max="16" width="2.7109375" style="127" customWidth="1"/>
    <col min="17" max="20" width="3.28515625" style="127" customWidth="1"/>
    <col min="21" max="21" width="2.28515625" style="127" customWidth="1"/>
    <col min="22" max="22" width="3.7109375" style="127" customWidth="1"/>
    <col min="23" max="23" width="3.28515625" style="127" customWidth="1"/>
    <col min="24" max="34" width="2.28515625" style="127" customWidth="1"/>
    <col min="35" max="35" width="2.28515625" style="159" customWidth="1"/>
    <col min="36" max="71" width="2.7109375" style="159" customWidth="1"/>
    <col min="72" max="256" width="2.7109375" style="127"/>
    <col min="257" max="291" width="3.140625" style="127" customWidth="1"/>
    <col min="292" max="327" width="2.7109375" style="127" customWidth="1"/>
    <col min="328" max="512" width="2.7109375" style="127"/>
    <col min="513" max="547" width="3.140625" style="127" customWidth="1"/>
    <col min="548" max="583" width="2.7109375" style="127" customWidth="1"/>
    <col min="584" max="768" width="2.7109375" style="127"/>
    <col min="769" max="803" width="3.140625" style="127" customWidth="1"/>
    <col min="804" max="839" width="2.7109375" style="127" customWidth="1"/>
    <col min="840" max="1024" width="2.7109375" style="127"/>
    <col min="1025" max="1059" width="3.140625" style="127" customWidth="1"/>
    <col min="1060" max="1095" width="2.7109375" style="127" customWidth="1"/>
    <col min="1096" max="1280" width="2.7109375" style="127"/>
    <col min="1281" max="1315" width="3.140625" style="127" customWidth="1"/>
    <col min="1316" max="1351" width="2.7109375" style="127" customWidth="1"/>
    <col min="1352" max="1536" width="2.7109375" style="127"/>
    <col min="1537" max="1571" width="3.140625" style="127" customWidth="1"/>
    <col min="1572" max="1607" width="2.7109375" style="127" customWidth="1"/>
    <col min="1608" max="1792" width="2.7109375" style="127"/>
    <col min="1793" max="1827" width="3.140625" style="127" customWidth="1"/>
    <col min="1828" max="1863" width="2.7109375" style="127" customWidth="1"/>
    <col min="1864" max="2048" width="2.7109375" style="127"/>
    <col min="2049" max="2083" width="3.140625" style="127" customWidth="1"/>
    <col min="2084" max="2119" width="2.7109375" style="127" customWidth="1"/>
    <col min="2120" max="2304" width="2.7109375" style="127"/>
    <col min="2305" max="2339" width="3.140625" style="127" customWidth="1"/>
    <col min="2340" max="2375" width="2.7109375" style="127" customWidth="1"/>
    <col min="2376" max="2560" width="2.7109375" style="127"/>
    <col min="2561" max="2595" width="3.140625" style="127" customWidth="1"/>
    <col min="2596" max="2631" width="2.7109375" style="127" customWidth="1"/>
    <col min="2632" max="2816" width="2.7109375" style="127"/>
    <col min="2817" max="2851" width="3.140625" style="127" customWidth="1"/>
    <col min="2852" max="2887" width="2.7109375" style="127" customWidth="1"/>
    <col min="2888" max="3072" width="2.7109375" style="127"/>
    <col min="3073" max="3107" width="3.140625" style="127" customWidth="1"/>
    <col min="3108" max="3143" width="2.7109375" style="127" customWidth="1"/>
    <col min="3144" max="3328" width="2.7109375" style="127"/>
    <col min="3329" max="3363" width="3.140625" style="127" customWidth="1"/>
    <col min="3364" max="3399" width="2.7109375" style="127" customWidth="1"/>
    <col min="3400" max="3584" width="2.7109375" style="127"/>
    <col min="3585" max="3619" width="3.140625" style="127" customWidth="1"/>
    <col min="3620" max="3655" width="2.7109375" style="127" customWidth="1"/>
    <col min="3656" max="3840" width="2.7109375" style="127"/>
    <col min="3841" max="3875" width="3.140625" style="127" customWidth="1"/>
    <col min="3876" max="3911" width="2.7109375" style="127" customWidth="1"/>
    <col min="3912" max="4096" width="2.7109375" style="127"/>
    <col min="4097" max="4131" width="3.140625" style="127" customWidth="1"/>
    <col min="4132" max="4167" width="2.7109375" style="127" customWidth="1"/>
    <col min="4168" max="4352" width="2.7109375" style="127"/>
    <col min="4353" max="4387" width="3.140625" style="127" customWidth="1"/>
    <col min="4388" max="4423" width="2.7109375" style="127" customWidth="1"/>
    <col min="4424" max="4608" width="2.7109375" style="127"/>
    <col min="4609" max="4643" width="3.140625" style="127" customWidth="1"/>
    <col min="4644" max="4679" width="2.7109375" style="127" customWidth="1"/>
    <col min="4680" max="4864" width="2.7109375" style="127"/>
    <col min="4865" max="4899" width="3.140625" style="127" customWidth="1"/>
    <col min="4900" max="4935" width="2.7109375" style="127" customWidth="1"/>
    <col min="4936" max="5120" width="2.7109375" style="127"/>
    <col min="5121" max="5155" width="3.140625" style="127" customWidth="1"/>
    <col min="5156" max="5191" width="2.7109375" style="127" customWidth="1"/>
    <col min="5192" max="5376" width="2.7109375" style="127"/>
    <col min="5377" max="5411" width="3.140625" style="127" customWidth="1"/>
    <col min="5412" max="5447" width="2.7109375" style="127" customWidth="1"/>
    <col min="5448" max="5632" width="2.7109375" style="127"/>
    <col min="5633" max="5667" width="3.140625" style="127" customWidth="1"/>
    <col min="5668" max="5703" width="2.7109375" style="127" customWidth="1"/>
    <col min="5704" max="5888" width="2.7109375" style="127"/>
    <col min="5889" max="5923" width="3.140625" style="127" customWidth="1"/>
    <col min="5924" max="5959" width="2.7109375" style="127" customWidth="1"/>
    <col min="5960" max="6144" width="2.7109375" style="127"/>
    <col min="6145" max="6179" width="3.140625" style="127" customWidth="1"/>
    <col min="6180" max="6215" width="2.7109375" style="127" customWidth="1"/>
    <col min="6216" max="6400" width="2.7109375" style="127"/>
    <col min="6401" max="6435" width="3.140625" style="127" customWidth="1"/>
    <col min="6436" max="6471" width="2.7109375" style="127" customWidth="1"/>
    <col min="6472" max="6656" width="2.7109375" style="127"/>
    <col min="6657" max="6691" width="3.140625" style="127" customWidth="1"/>
    <col min="6692" max="6727" width="2.7109375" style="127" customWidth="1"/>
    <col min="6728" max="6912" width="2.7109375" style="127"/>
    <col min="6913" max="6947" width="3.140625" style="127" customWidth="1"/>
    <col min="6948" max="6983" width="2.7109375" style="127" customWidth="1"/>
    <col min="6984" max="7168" width="2.7109375" style="127"/>
    <col min="7169" max="7203" width="3.140625" style="127" customWidth="1"/>
    <col min="7204" max="7239" width="2.7109375" style="127" customWidth="1"/>
    <col min="7240" max="7424" width="2.7109375" style="127"/>
    <col min="7425" max="7459" width="3.140625" style="127" customWidth="1"/>
    <col min="7460" max="7495" width="2.7109375" style="127" customWidth="1"/>
    <col min="7496" max="7680" width="2.7109375" style="127"/>
    <col min="7681" max="7715" width="3.140625" style="127" customWidth="1"/>
    <col min="7716" max="7751" width="2.7109375" style="127" customWidth="1"/>
    <col min="7752" max="7936" width="2.7109375" style="127"/>
    <col min="7937" max="7971" width="3.140625" style="127" customWidth="1"/>
    <col min="7972" max="8007" width="2.7109375" style="127" customWidth="1"/>
    <col min="8008" max="8192" width="2.7109375" style="127"/>
    <col min="8193" max="8227" width="3.140625" style="127" customWidth="1"/>
    <col min="8228" max="8263" width="2.7109375" style="127" customWidth="1"/>
    <col min="8264" max="8448" width="2.7109375" style="127"/>
    <col min="8449" max="8483" width="3.140625" style="127" customWidth="1"/>
    <col min="8484" max="8519" width="2.7109375" style="127" customWidth="1"/>
    <col min="8520" max="8704" width="2.7109375" style="127"/>
    <col min="8705" max="8739" width="3.140625" style="127" customWidth="1"/>
    <col min="8740" max="8775" width="2.7109375" style="127" customWidth="1"/>
    <col min="8776" max="8960" width="2.7109375" style="127"/>
    <col min="8961" max="8995" width="3.140625" style="127" customWidth="1"/>
    <col min="8996" max="9031" width="2.7109375" style="127" customWidth="1"/>
    <col min="9032" max="9216" width="2.7109375" style="127"/>
    <col min="9217" max="9251" width="3.140625" style="127" customWidth="1"/>
    <col min="9252" max="9287" width="2.7109375" style="127" customWidth="1"/>
    <col min="9288" max="9472" width="2.7109375" style="127"/>
    <col min="9473" max="9507" width="3.140625" style="127" customWidth="1"/>
    <col min="9508" max="9543" width="2.7109375" style="127" customWidth="1"/>
    <col min="9544" max="9728" width="2.7109375" style="127"/>
    <col min="9729" max="9763" width="3.140625" style="127" customWidth="1"/>
    <col min="9764" max="9799" width="2.7109375" style="127" customWidth="1"/>
    <col min="9800" max="9984" width="2.7109375" style="127"/>
    <col min="9985" max="10019" width="3.140625" style="127" customWidth="1"/>
    <col min="10020" max="10055" width="2.7109375" style="127" customWidth="1"/>
    <col min="10056" max="10240" width="2.7109375" style="127"/>
    <col min="10241" max="10275" width="3.140625" style="127" customWidth="1"/>
    <col min="10276" max="10311" width="2.7109375" style="127" customWidth="1"/>
    <col min="10312" max="10496" width="2.7109375" style="127"/>
    <col min="10497" max="10531" width="3.140625" style="127" customWidth="1"/>
    <col min="10532" max="10567" width="2.7109375" style="127" customWidth="1"/>
    <col min="10568" max="10752" width="2.7109375" style="127"/>
    <col min="10753" max="10787" width="3.140625" style="127" customWidth="1"/>
    <col min="10788" max="10823" width="2.7109375" style="127" customWidth="1"/>
    <col min="10824" max="11008" width="2.7109375" style="127"/>
    <col min="11009" max="11043" width="3.140625" style="127" customWidth="1"/>
    <col min="11044" max="11079" width="2.7109375" style="127" customWidth="1"/>
    <col min="11080" max="11264" width="2.7109375" style="127"/>
    <col min="11265" max="11299" width="3.140625" style="127" customWidth="1"/>
    <col min="11300" max="11335" width="2.7109375" style="127" customWidth="1"/>
    <col min="11336" max="11520" width="2.7109375" style="127"/>
    <col min="11521" max="11555" width="3.140625" style="127" customWidth="1"/>
    <col min="11556" max="11591" width="2.7109375" style="127" customWidth="1"/>
    <col min="11592" max="11776" width="2.7109375" style="127"/>
    <col min="11777" max="11811" width="3.140625" style="127" customWidth="1"/>
    <col min="11812" max="11847" width="2.7109375" style="127" customWidth="1"/>
    <col min="11848" max="12032" width="2.7109375" style="127"/>
    <col min="12033" max="12067" width="3.140625" style="127" customWidth="1"/>
    <col min="12068" max="12103" width="2.7109375" style="127" customWidth="1"/>
    <col min="12104" max="12288" width="2.7109375" style="127"/>
    <col min="12289" max="12323" width="3.140625" style="127" customWidth="1"/>
    <col min="12324" max="12359" width="2.7109375" style="127" customWidth="1"/>
    <col min="12360" max="12544" width="2.7109375" style="127"/>
    <col min="12545" max="12579" width="3.140625" style="127" customWidth="1"/>
    <col min="12580" max="12615" width="2.7109375" style="127" customWidth="1"/>
    <col min="12616" max="12800" width="2.7109375" style="127"/>
    <col min="12801" max="12835" width="3.140625" style="127" customWidth="1"/>
    <col min="12836" max="12871" width="2.7109375" style="127" customWidth="1"/>
    <col min="12872" max="13056" width="2.7109375" style="127"/>
    <col min="13057" max="13091" width="3.140625" style="127" customWidth="1"/>
    <col min="13092" max="13127" width="2.7109375" style="127" customWidth="1"/>
    <col min="13128" max="13312" width="2.7109375" style="127"/>
    <col min="13313" max="13347" width="3.140625" style="127" customWidth="1"/>
    <col min="13348" max="13383" width="2.7109375" style="127" customWidth="1"/>
    <col min="13384" max="13568" width="2.7109375" style="127"/>
    <col min="13569" max="13603" width="3.140625" style="127" customWidth="1"/>
    <col min="13604" max="13639" width="2.7109375" style="127" customWidth="1"/>
    <col min="13640" max="13824" width="2.7109375" style="127"/>
    <col min="13825" max="13859" width="3.140625" style="127" customWidth="1"/>
    <col min="13860" max="13895" width="2.7109375" style="127" customWidth="1"/>
    <col min="13896" max="14080" width="2.7109375" style="127"/>
    <col min="14081" max="14115" width="3.140625" style="127" customWidth="1"/>
    <col min="14116" max="14151" width="2.7109375" style="127" customWidth="1"/>
    <col min="14152" max="14336" width="2.7109375" style="127"/>
    <col min="14337" max="14371" width="3.140625" style="127" customWidth="1"/>
    <col min="14372" max="14407" width="2.7109375" style="127" customWidth="1"/>
    <col min="14408" max="14592" width="2.7109375" style="127"/>
    <col min="14593" max="14627" width="3.140625" style="127" customWidth="1"/>
    <col min="14628" max="14663" width="2.7109375" style="127" customWidth="1"/>
    <col min="14664" max="14848" width="2.7109375" style="127"/>
    <col min="14849" max="14883" width="3.140625" style="127" customWidth="1"/>
    <col min="14884" max="14919" width="2.7109375" style="127" customWidth="1"/>
    <col min="14920" max="15104" width="2.7109375" style="127"/>
    <col min="15105" max="15139" width="3.140625" style="127" customWidth="1"/>
    <col min="15140" max="15175" width="2.7109375" style="127" customWidth="1"/>
    <col min="15176" max="15360" width="2.7109375" style="127"/>
    <col min="15361" max="15395" width="3.140625" style="127" customWidth="1"/>
    <col min="15396" max="15431" width="2.7109375" style="127" customWidth="1"/>
    <col min="15432" max="15616" width="2.7109375" style="127"/>
    <col min="15617" max="15651" width="3.140625" style="127" customWidth="1"/>
    <col min="15652" max="15687" width="2.7109375" style="127" customWidth="1"/>
    <col min="15688" max="15872" width="2.7109375" style="127"/>
    <col min="15873" max="15907" width="3.140625" style="127" customWidth="1"/>
    <col min="15908" max="15943" width="2.7109375" style="127" customWidth="1"/>
    <col min="15944" max="16128" width="2.7109375" style="127"/>
    <col min="16129" max="16163" width="3.140625" style="127" customWidth="1"/>
    <col min="16164" max="16199" width="2.7109375" style="127" customWidth="1"/>
    <col min="16200" max="16384" width="2.7109375" style="127"/>
  </cols>
  <sheetData>
    <row r="1" spans="1:71" ht="15" customHeight="1">
      <c r="A1" s="2522"/>
      <c r="B1" s="2523"/>
      <c r="C1" s="2523"/>
      <c r="D1" s="2523"/>
      <c r="E1" s="2523"/>
      <c r="F1" s="2523"/>
      <c r="G1" s="2524"/>
      <c r="H1" s="2718" t="s">
        <v>37</v>
      </c>
      <c r="I1" s="2719"/>
      <c r="J1" s="2719"/>
      <c r="K1" s="2719"/>
      <c r="L1" s="2719"/>
      <c r="M1" s="2719"/>
      <c r="N1" s="2719"/>
      <c r="O1" s="2719"/>
      <c r="P1" s="2719"/>
      <c r="Q1" s="2719"/>
      <c r="R1" s="2719"/>
      <c r="S1" s="2719"/>
      <c r="T1" s="2719"/>
      <c r="U1" s="2719"/>
      <c r="V1" s="2719"/>
      <c r="W1" s="2719"/>
      <c r="X1" s="2719"/>
      <c r="Y1" s="2719"/>
      <c r="Z1" s="2719"/>
      <c r="AA1" s="2719"/>
      <c r="AB1" s="2719"/>
      <c r="AC1" s="2719"/>
      <c r="AD1" s="2719"/>
      <c r="AE1" s="2719"/>
      <c r="AF1" s="2719"/>
      <c r="AG1" s="2719"/>
      <c r="AH1" s="2719"/>
      <c r="AI1" s="2720"/>
      <c r="AJ1" s="158"/>
    </row>
    <row r="2" spans="1:71" ht="25.5" customHeight="1">
      <c r="A2" s="2525"/>
      <c r="B2" s="2526"/>
      <c r="C2" s="2526"/>
      <c r="D2" s="2526"/>
      <c r="E2" s="2526"/>
      <c r="F2" s="2526"/>
      <c r="G2" s="2527"/>
      <c r="H2" s="2721" t="s">
        <v>123</v>
      </c>
      <c r="I2" s="2722"/>
      <c r="J2" s="2722"/>
      <c r="K2" s="2722"/>
      <c r="L2" s="2722"/>
      <c r="M2" s="2722"/>
      <c r="N2" s="2722"/>
      <c r="O2" s="2722"/>
      <c r="P2" s="2722"/>
      <c r="Q2" s="2722"/>
      <c r="R2" s="2722"/>
      <c r="S2" s="2722"/>
      <c r="T2" s="2722"/>
      <c r="U2" s="2722"/>
      <c r="V2" s="2722"/>
      <c r="W2" s="2722"/>
      <c r="X2" s="2722"/>
      <c r="Y2" s="2722"/>
      <c r="Z2" s="2722"/>
      <c r="AA2" s="2722"/>
      <c r="AB2" s="2722"/>
      <c r="AC2" s="2722"/>
      <c r="AD2" s="2722"/>
      <c r="AE2" s="2722"/>
      <c r="AF2" s="2722"/>
      <c r="AG2" s="2722"/>
      <c r="AH2" s="2722"/>
      <c r="AI2" s="2723"/>
      <c r="AJ2" s="158"/>
      <c r="AM2" s="2518" t="s">
        <v>98</v>
      </c>
      <c r="AN2" s="2519"/>
      <c r="AO2" s="2519"/>
      <c r="AP2" s="2519"/>
      <c r="AQ2" s="841" t="s">
        <v>99</v>
      </c>
      <c r="AR2" s="842"/>
      <c r="AS2" s="2506" t="s">
        <v>100</v>
      </c>
      <c r="AT2" s="2507"/>
      <c r="AV2" s="2518" t="s">
        <v>101</v>
      </c>
      <c r="AW2" s="2519"/>
      <c r="AX2" s="2519"/>
      <c r="AY2" s="2519"/>
      <c r="AZ2" s="841" t="s">
        <v>102</v>
      </c>
      <c r="BA2" s="841"/>
      <c r="BB2" s="841"/>
      <c r="BC2" s="842"/>
      <c r="BD2" s="2506"/>
      <c r="BE2" s="2507"/>
      <c r="BG2" s="2535" t="s">
        <v>406</v>
      </c>
      <c r="BH2" s="2536"/>
      <c r="BI2" s="2536"/>
      <c r="BJ2" s="2536"/>
      <c r="BK2" s="2536"/>
      <c r="BL2" s="2536"/>
      <c r="BM2" s="841" t="s">
        <v>103</v>
      </c>
      <c r="BN2" s="841"/>
      <c r="BO2" s="841"/>
      <c r="BP2" s="842"/>
      <c r="BQ2" s="2506"/>
      <c r="BR2" s="2507"/>
    </row>
    <row r="3" spans="1:71" ht="15" customHeight="1">
      <c r="A3" s="2525"/>
      <c r="B3" s="2526"/>
      <c r="C3" s="2526"/>
      <c r="D3" s="2526"/>
      <c r="E3" s="2526"/>
      <c r="F3" s="2526"/>
      <c r="G3" s="2527"/>
      <c r="H3" s="2724" t="s">
        <v>587</v>
      </c>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6"/>
      <c r="AJ3" s="158"/>
      <c r="AM3" s="2520"/>
      <c r="AN3" s="2521"/>
      <c r="AO3" s="2521"/>
      <c r="AP3" s="2521"/>
      <c r="AQ3" s="1348" t="s">
        <v>104</v>
      </c>
      <c r="AR3" s="843"/>
      <c r="AS3" s="2508"/>
      <c r="AT3" s="2509"/>
      <c r="AV3" s="2520"/>
      <c r="AW3" s="2521"/>
      <c r="AX3" s="2521"/>
      <c r="AY3" s="2521"/>
      <c r="AZ3" s="1348" t="s">
        <v>105</v>
      </c>
      <c r="BA3" s="1348"/>
      <c r="BB3" s="1348"/>
      <c r="BC3" s="843"/>
      <c r="BD3" s="2508" t="s">
        <v>100</v>
      </c>
      <c r="BE3" s="2509"/>
      <c r="BG3" s="2537"/>
      <c r="BH3" s="2538"/>
      <c r="BI3" s="2538"/>
      <c r="BJ3" s="2538"/>
      <c r="BK3" s="2538"/>
      <c r="BL3" s="2538"/>
      <c r="BM3" s="1348" t="s">
        <v>106</v>
      </c>
      <c r="BN3" s="1348"/>
      <c r="BO3" s="1348"/>
      <c r="BP3" s="843"/>
      <c r="BQ3" s="2508"/>
      <c r="BR3" s="2509"/>
    </row>
    <row r="4" spans="1:71" ht="12.95" customHeight="1">
      <c r="A4" s="2525"/>
      <c r="B4" s="2526"/>
      <c r="C4" s="2526"/>
      <c r="D4" s="2526"/>
      <c r="E4" s="2526"/>
      <c r="F4" s="2526"/>
      <c r="G4" s="2527"/>
      <c r="H4" s="2727" t="s">
        <v>807</v>
      </c>
      <c r="I4" s="2728"/>
      <c r="J4" s="2728"/>
      <c r="K4" s="2728"/>
      <c r="L4" s="2728"/>
      <c r="M4" s="2728"/>
      <c r="N4" s="2728"/>
      <c r="O4" s="2728"/>
      <c r="P4" s="2728"/>
      <c r="Q4" s="2728"/>
      <c r="R4" s="2728"/>
      <c r="S4" s="2728"/>
      <c r="T4" s="2728"/>
      <c r="U4" s="2727" t="s">
        <v>808</v>
      </c>
      <c r="V4" s="2728"/>
      <c r="W4" s="2728"/>
      <c r="X4" s="2728"/>
      <c r="Y4" s="2728"/>
      <c r="Z4" s="2728"/>
      <c r="AA4" s="2728"/>
      <c r="AB4" s="2728"/>
      <c r="AC4" s="2728"/>
      <c r="AD4" s="2728"/>
      <c r="AE4" s="2728"/>
      <c r="AF4" s="2728"/>
      <c r="AG4" s="2728"/>
      <c r="AH4" s="2728"/>
      <c r="AI4" s="2729"/>
      <c r="AJ4" s="160"/>
      <c r="BM4" s="159" t="s">
        <v>754</v>
      </c>
    </row>
    <row r="5" spans="1:71" ht="12.95" customHeight="1">
      <c r="A5" s="2528"/>
      <c r="B5" s="2529"/>
      <c r="C5" s="2529"/>
      <c r="D5" s="2529"/>
      <c r="E5" s="2529"/>
      <c r="F5" s="2529"/>
      <c r="G5" s="2530"/>
      <c r="H5" s="2730" t="s">
        <v>809</v>
      </c>
      <c r="I5" s="2731"/>
      <c r="J5" s="2731"/>
      <c r="K5" s="2731"/>
      <c r="L5" s="2731"/>
      <c r="M5" s="2731"/>
      <c r="N5" s="2731"/>
      <c r="O5" s="2731"/>
      <c r="P5" s="2731"/>
      <c r="Q5" s="2731"/>
      <c r="R5" s="2731"/>
      <c r="S5" s="2731"/>
      <c r="T5" s="2731"/>
      <c r="U5" s="2731"/>
      <c r="V5" s="2731"/>
      <c r="W5" s="2731"/>
      <c r="X5" s="2731"/>
      <c r="Y5" s="2731"/>
      <c r="Z5" s="2731"/>
      <c r="AA5" s="2731"/>
      <c r="AB5" s="2731"/>
      <c r="AC5" s="2731"/>
      <c r="AD5" s="2731"/>
      <c r="AE5" s="2731"/>
      <c r="AF5" s="2731"/>
      <c r="AG5" s="2731"/>
      <c r="AH5" s="2731"/>
      <c r="AI5" s="2732"/>
      <c r="AJ5" s="161"/>
    </row>
    <row r="6" spans="1:71" ht="14.1" customHeight="1">
      <c r="A6" s="2251" t="s">
        <v>5</v>
      </c>
      <c r="B6" s="2252"/>
      <c r="C6" s="2252"/>
      <c r="D6" s="2252"/>
      <c r="E6" s="2255" t="str">
        <f>IF('Gradacion '!E6="","",+'Gradacion '!E6)</f>
        <v/>
      </c>
      <c r="F6" s="2255"/>
      <c r="G6" s="2255"/>
      <c r="H6" s="2255"/>
      <c r="I6" s="2255"/>
      <c r="J6" s="2255"/>
      <c r="K6" s="2255"/>
      <c r="L6" s="2255"/>
      <c r="M6" s="2255"/>
      <c r="N6" s="2255"/>
      <c r="O6" s="2255"/>
      <c r="P6" s="2255"/>
      <c r="Q6" s="2255"/>
      <c r="R6" s="2255"/>
      <c r="S6" s="2255"/>
      <c r="T6" s="2255"/>
      <c r="U6" s="2539" t="s">
        <v>324</v>
      </c>
      <c r="V6" s="2539"/>
      <c r="W6" s="2539"/>
      <c r="X6" s="2539"/>
      <c r="Y6" s="2539"/>
      <c r="Z6" s="2539"/>
      <c r="AA6" s="2539"/>
      <c r="AB6" s="2533"/>
      <c r="AC6" s="2533"/>
      <c r="AD6" s="2533"/>
      <c r="AE6" s="2533"/>
      <c r="AF6" s="2533"/>
      <c r="AG6" s="2533"/>
      <c r="AH6" s="2533"/>
      <c r="AI6" s="2534"/>
    </row>
    <row r="7" spans="1:71" s="129" customFormat="1" ht="20.25" customHeight="1">
      <c r="A7" s="2265" t="s">
        <v>17</v>
      </c>
      <c r="B7" s="2266"/>
      <c r="C7" s="2266"/>
      <c r="D7" s="2266"/>
      <c r="E7" s="2532" t="str">
        <f>IF('Gradacion '!E7="","",+'Gradacion '!E7)</f>
        <v/>
      </c>
      <c r="F7" s="2532"/>
      <c r="G7" s="2532"/>
      <c r="H7" s="2532"/>
      <c r="I7" s="2532"/>
      <c r="J7" s="2531" t="s">
        <v>18</v>
      </c>
      <c r="K7" s="2531"/>
      <c r="L7" s="2531"/>
      <c r="M7" s="2531"/>
      <c r="N7" s="2532" t="str">
        <f>IF('Gradacion '!O7="","",'Gradacion '!O7)</f>
        <v/>
      </c>
      <c r="O7" s="2532"/>
      <c r="P7" s="2532"/>
      <c r="Q7" s="2532"/>
      <c r="R7" s="2532"/>
      <c r="S7" s="2532"/>
      <c r="T7" s="2532"/>
      <c r="U7" s="1344" t="s">
        <v>40</v>
      </c>
      <c r="V7" s="1344"/>
      <c r="W7" s="1344"/>
      <c r="X7" s="1344"/>
      <c r="Y7" s="1344"/>
      <c r="Z7" s="1344"/>
      <c r="AA7" s="1344"/>
      <c r="AB7" s="2249" t="str">
        <f>IF('Gradacion '!AB7="","",'Gradacion '!AB7)</f>
        <v/>
      </c>
      <c r="AC7" s="2249"/>
      <c r="AD7" s="2249"/>
      <c r="AE7" s="2249"/>
      <c r="AF7" s="2249"/>
      <c r="AG7" s="2249"/>
      <c r="AH7" s="2249"/>
      <c r="AI7" s="2250"/>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row>
    <row r="8" spans="1:71" s="129" customFormat="1" ht="14.1" customHeight="1">
      <c r="A8" s="2265" t="s">
        <v>465</v>
      </c>
      <c r="B8" s="2266"/>
      <c r="C8" s="2266"/>
      <c r="D8" s="2266"/>
      <c r="E8" s="2532" t="str">
        <f>IF('Gradacion '!E8="","",'Gradacion '!E8)</f>
        <v/>
      </c>
      <c r="F8" s="2532"/>
      <c r="G8" s="2532"/>
      <c r="H8" s="2532"/>
      <c r="I8" s="2532"/>
      <c r="J8" s="2248" t="s">
        <v>19</v>
      </c>
      <c r="K8" s="2248"/>
      <c r="L8" s="2248"/>
      <c r="M8" s="2248"/>
      <c r="N8" s="2532" t="str">
        <f>IF('Gradacion '!O8="","",'Gradacion '!O8)</f>
        <v/>
      </c>
      <c r="O8" s="2532"/>
      <c r="P8" s="2532"/>
      <c r="Q8" s="2532"/>
      <c r="R8" s="2532"/>
      <c r="S8" s="2532"/>
      <c r="T8" s="2532"/>
      <c r="U8" s="2545" t="s">
        <v>407</v>
      </c>
      <c r="V8" s="2545"/>
      <c r="W8" s="2545"/>
      <c r="X8" s="2545"/>
      <c r="Y8" s="2546"/>
      <c r="Z8" s="2546"/>
      <c r="AA8" s="2546"/>
      <c r="AB8" s="2244"/>
      <c r="AC8" s="2244"/>
      <c r="AD8" s="2244"/>
      <c r="AE8" s="2244"/>
      <c r="AF8" s="2244"/>
      <c r="AG8" s="2244"/>
      <c r="AH8" s="2244"/>
      <c r="AI8" s="2245"/>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row>
    <row r="9" spans="1:71" s="129" customFormat="1" ht="14.1" customHeight="1">
      <c r="A9" s="2888" t="s">
        <v>6</v>
      </c>
      <c r="B9" s="2889"/>
      <c r="C9" s="2889"/>
      <c r="D9" s="2889"/>
      <c r="E9" s="2890" t="str">
        <f>IF('Gradacion '!E9="","",+'Gradacion '!E9)</f>
        <v/>
      </c>
      <c r="F9" s="2890"/>
      <c r="G9" s="2890"/>
      <c r="H9" s="2890"/>
      <c r="I9" s="2890"/>
      <c r="J9" s="2890"/>
      <c r="K9" s="2890"/>
      <c r="L9" s="2890"/>
      <c r="M9" s="2890"/>
      <c r="N9" s="2890"/>
      <c r="O9" s="2890"/>
      <c r="P9" s="2890"/>
      <c r="Q9" s="2890"/>
      <c r="R9" s="2890"/>
      <c r="S9" s="2890"/>
      <c r="T9" s="2890"/>
      <c r="U9" s="1349" t="s">
        <v>636</v>
      </c>
      <c r="V9" s="1350"/>
      <c r="W9" s="1351"/>
      <c r="X9" s="1351"/>
      <c r="Y9" s="1351"/>
      <c r="Z9" s="1351"/>
      <c r="AA9" s="1351"/>
      <c r="AB9" s="2879" t="str">
        <f>IF('Gradacion '!AB9="","",'Gradacion '!AB9)</f>
        <v/>
      </c>
      <c r="AC9" s="2879"/>
      <c r="AD9" s="2879"/>
      <c r="AE9" s="2879"/>
      <c r="AF9" s="2879"/>
      <c r="AG9" s="2879"/>
      <c r="AH9" s="2879"/>
      <c r="AI9" s="2880"/>
      <c r="AQ9" s="163"/>
      <c r="AS9" s="164"/>
      <c r="AT9" s="164"/>
      <c r="AU9" s="164"/>
      <c r="AV9" s="164"/>
      <c r="AW9" s="165"/>
      <c r="AX9" s="162"/>
      <c r="AY9" s="162"/>
      <c r="AZ9" s="162"/>
      <c r="BA9" s="162"/>
      <c r="BB9" s="162"/>
      <c r="BC9" s="162"/>
      <c r="BD9" s="162"/>
      <c r="BE9" s="162"/>
      <c r="BF9" s="162"/>
      <c r="BG9" s="162"/>
      <c r="BH9" s="162"/>
      <c r="BI9" s="162"/>
      <c r="BJ9" s="162"/>
      <c r="BK9" s="162"/>
      <c r="BL9" s="162"/>
      <c r="BM9" s="162"/>
      <c r="BN9" s="162"/>
      <c r="BO9" s="162"/>
      <c r="BP9" s="162"/>
      <c r="BQ9" s="162"/>
      <c r="BR9" s="162"/>
      <c r="BS9" s="162"/>
    </row>
    <row r="10" spans="1:71" s="129" customFormat="1" ht="3" customHeight="1">
      <c r="A10" s="559"/>
      <c r="B10" s="560"/>
      <c r="C10" s="561"/>
      <c r="D10" s="561"/>
      <c r="E10" s="561"/>
      <c r="F10" s="561"/>
      <c r="G10" s="561"/>
      <c r="H10" s="561"/>
      <c r="I10" s="561"/>
      <c r="J10" s="561"/>
      <c r="K10" s="561"/>
      <c r="L10" s="561"/>
      <c r="M10" s="561"/>
      <c r="N10" s="561"/>
      <c r="O10" s="561"/>
      <c r="P10" s="562"/>
      <c r="Q10" s="562"/>
      <c r="R10" s="562"/>
      <c r="S10" s="562"/>
      <c r="T10" s="562"/>
      <c r="U10" s="562"/>
      <c r="V10" s="562"/>
      <c r="W10" s="562"/>
      <c r="X10" s="1343"/>
      <c r="Y10" s="1343"/>
      <c r="Z10" s="563"/>
      <c r="AA10" s="563"/>
      <c r="AB10" s="563"/>
      <c r="AC10" s="564"/>
      <c r="AD10" s="560"/>
      <c r="AE10" s="560"/>
      <c r="AF10" s="565"/>
      <c r="AG10" s="565"/>
      <c r="AH10" s="565"/>
      <c r="AI10" s="566"/>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row>
    <row r="11" spans="1:71" ht="12.95" customHeight="1">
      <c r="A11" s="571"/>
      <c r="B11" s="2576" t="s">
        <v>98</v>
      </c>
      <c r="C11" s="2577"/>
      <c r="D11" s="2577"/>
      <c r="E11" s="2577"/>
      <c r="F11" s="2510"/>
      <c r="G11" s="2510"/>
      <c r="H11" s="2510"/>
      <c r="I11" s="2511"/>
      <c r="J11" s="572"/>
      <c r="K11" s="2514" t="s">
        <v>101</v>
      </c>
      <c r="L11" s="2515"/>
      <c r="M11" s="2515"/>
      <c r="N11" s="2515"/>
      <c r="O11" s="2510"/>
      <c r="P11" s="2510"/>
      <c r="Q11" s="2510"/>
      <c r="R11" s="2510"/>
      <c r="S11" s="2510"/>
      <c r="T11" s="2511"/>
      <c r="U11" s="572"/>
      <c r="V11" s="2514" t="s">
        <v>406</v>
      </c>
      <c r="W11" s="2515"/>
      <c r="X11" s="2515"/>
      <c r="Y11" s="2515"/>
      <c r="Z11" s="2515"/>
      <c r="AA11" s="2515"/>
      <c r="AB11" s="2515"/>
      <c r="AC11" s="2510"/>
      <c r="AD11" s="2510"/>
      <c r="AE11" s="2510"/>
      <c r="AF11" s="2510"/>
      <c r="AG11" s="2510"/>
      <c r="AH11" s="2511"/>
      <c r="AI11" s="568"/>
      <c r="AU11" s="556" t="s">
        <v>539</v>
      </c>
    </row>
    <row r="12" spans="1:71" s="166" customFormat="1" ht="12.95" customHeight="1">
      <c r="A12" s="571"/>
      <c r="B12" s="2578"/>
      <c r="C12" s="2579"/>
      <c r="D12" s="2579"/>
      <c r="E12" s="2579"/>
      <c r="F12" s="2512"/>
      <c r="G12" s="2512"/>
      <c r="H12" s="2512"/>
      <c r="I12" s="2513"/>
      <c r="J12" s="572"/>
      <c r="K12" s="2516"/>
      <c r="L12" s="2517"/>
      <c r="M12" s="2517"/>
      <c r="N12" s="2517"/>
      <c r="O12" s="2512"/>
      <c r="P12" s="2512"/>
      <c r="Q12" s="2512"/>
      <c r="R12" s="2512"/>
      <c r="S12" s="2512"/>
      <c r="T12" s="2513"/>
      <c r="U12" s="572"/>
      <c r="V12" s="2516"/>
      <c r="W12" s="2517"/>
      <c r="X12" s="2517"/>
      <c r="Y12" s="2517"/>
      <c r="Z12" s="2517"/>
      <c r="AA12" s="2517"/>
      <c r="AB12" s="2517"/>
      <c r="AC12" s="2512"/>
      <c r="AD12" s="2512"/>
      <c r="AE12" s="2512"/>
      <c r="AF12" s="2512"/>
      <c r="AG12" s="2512"/>
      <c r="AH12" s="2513"/>
      <c r="AI12" s="568"/>
      <c r="AU12" s="557" t="s">
        <v>540</v>
      </c>
    </row>
    <row r="13" spans="1:71" s="166" customFormat="1" ht="3" customHeight="1">
      <c r="A13" s="571"/>
      <c r="B13" s="567"/>
      <c r="C13" s="572"/>
      <c r="D13" s="572"/>
      <c r="E13" s="572"/>
      <c r="F13" s="572"/>
      <c r="G13" s="572"/>
      <c r="H13" s="572"/>
      <c r="I13" s="572"/>
      <c r="J13" s="572"/>
      <c r="K13" s="572"/>
      <c r="L13" s="572"/>
      <c r="M13" s="572"/>
      <c r="N13" s="572"/>
      <c r="O13" s="572"/>
      <c r="P13" s="567"/>
      <c r="Q13" s="567"/>
      <c r="R13" s="567"/>
      <c r="S13" s="567"/>
      <c r="T13" s="567"/>
      <c r="U13" s="567"/>
      <c r="V13" s="567"/>
      <c r="W13" s="567"/>
      <c r="X13" s="1343"/>
      <c r="Y13" s="1343"/>
      <c r="Z13" s="563"/>
      <c r="AA13" s="563"/>
      <c r="AB13" s="563"/>
      <c r="AC13" s="573"/>
      <c r="AD13" s="567"/>
      <c r="AE13" s="567"/>
      <c r="AF13" s="569"/>
      <c r="AG13" s="569"/>
      <c r="AH13" s="569"/>
      <c r="AI13" s="570"/>
      <c r="AU13" s="557" t="s">
        <v>541</v>
      </c>
    </row>
    <row r="14" spans="1:71" s="167" customFormat="1" ht="12.95" customHeight="1">
      <c r="A14" s="2574" t="s">
        <v>108</v>
      </c>
      <c r="B14" s="2575"/>
      <c r="C14" s="2575"/>
      <c r="D14" s="2575"/>
      <c r="E14" s="2574" t="s">
        <v>124</v>
      </c>
      <c r="F14" s="2575"/>
      <c r="G14" s="2575"/>
      <c r="H14" s="2764"/>
      <c r="I14" s="2817" t="s">
        <v>125</v>
      </c>
      <c r="J14" s="2817"/>
      <c r="K14" s="2817"/>
      <c r="L14" s="2817"/>
      <c r="M14" s="2817" t="s">
        <v>126</v>
      </c>
      <c r="N14" s="2817"/>
      <c r="O14" s="2817"/>
      <c r="P14" s="2817"/>
      <c r="Q14" s="2733" t="s">
        <v>109</v>
      </c>
      <c r="R14" s="2734"/>
      <c r="S14" s="2734"/>
      <c r="T14" s="2765"/>
      <c r="U14" s="2733" t="s">
        <v>353</v>
      </c>
      <c r="V14" s="2734"/>
      <c r="W14" s="2734"/>
      <c r="X14" s="2734"/>
      <c r="Y14" s="2733" t="s">
        <v>354</v>
      </c>
      <c r="Z14" s="2734"/>
      <c r="AA14" s="2734"/>
      <c r="AB14" s="2734"/>
      <c r="AC14" s="2737" t="s">
        <v>127</v>
      </c>
      <c r="AD14" s="2738"/>
      <c r="AE14" s="2738"/>
      <c r="AF14" s="2739"/>
      <c r="AG14" s="2737" t="s">
        <v>128</v>
      </c>
      <c r="AH14" s="2738"/>
      <c r="AI14" s="2739"/>
      <c r="AJ14" s="166"/>
      <c r="AK14" s="166"/>
      <c r="AL14" s="166"/>
      <c r="AM14" s="166"/>
      <c r="AN14" s="166"/>
      <c r="AO14" s="166"/>
      <c r="AP14" s="166"/>
      <c r="AQ14" s="166"/>
      <c r="AR14" s="166"/>
      <c r="AS14" s="166"/>
      <c r="AT14" s="166"/>
      <c r="AU14" s="557" t="s">
        <v>542</v>
      </c>
      <c r="AV14" s="166"/>
      <c r="AW14" s="166"/>
      <c r="AX14" s="166"/>
      <c r="AY14" s="166"/>
      <c r="AZ14" s="166"/>
      <c r="BA14" s="166"/>
      <c r="BB14" s="166"/>
      <c r="BC14" s="166"/>
      <c r="BD14" s="166"/>
      <c r="BE14" s="166"/>
      <c r="BF14" s="166"/>
      <c r="BG14" s="166"/>
      <c r="BH14" s="166"/>
      <c r="BI14" s="166"/>
      <c r="BJ14" s="166"/>
      <c r="BK14" s="166"/>
      <c r="BL14" s="166"/>
      <c r="BM14" s="166"/>
      <c r="BN14" s="166"/>
      <c r="BO14" s="166"/>
      <c r="BP14" s="166"/>
      <c r="BQ14" s="166"/>
      <c r="BR14" s="166"/>
      <c r="BS14" s="166"/>
    </row>
    <row r="15" spans="1:71" s="167" customFormat="1" ht="17.25" customHeight="1" thickBot="1">
      <c r="A15" s="2776" t="s">
        <v>51</v>
      </c>
      <c r="B15" s="2777"/>
      <c r="C15" s="2776" t="s">
        <v>110</v>
      </c>
      <c r="D15" s="2777"/>
      <c r="E15" s="2776" t="s">
        <v>51</v>
      </c>
      <c r="F15" s="2777"/>
      <c r="G15" s="2776" t="s">
        <v>110</v>
      </c>
      <c r="H15" s="2777"/>
      <c r="I15" s="2818"/>
      <c r="J15" s="2818"/>
      <c r="K15" s="2818"/>
      <c r="L15" s="2818"/>
      <c r="M15" s="2818"/>
      <c r="N15" s="2818"/>
      <c r="O15" s="2818"/>
      <c r="P15" s="2818"/>
      <c r="Q15" s="2735"/>
      <c r="R15" s="2736"/>
      <c r="S15" s="2736"/>
      <c r="T15" s="2766"/>
      <c r="U15" s="2735"/>
      <c r="V15" s="2736"/>
      <c r="W15" s="2736"/>
      <c r="X15" s="2736"/>
      <c r="Y15" s="2735"/>
      <c r="Z15" s="2736"/>
      <c r="AA15" s="2736"/>
      <c r="AB15" s="2736"/>
      <c r="AC15" s="2875" t="s">
        <v>129</v>
      </c>
      <c r="AD15" s="2876"/>
      <c r="AE15" s="2876"/>
      <c r="AF15" s="2877"/>
      <c r="AG15" s="2875" t="s">
        <v>130</v>
      </c>
      <c r="AH15" s="2876"/>
      <c r="AI15" s="2877"/>
      <c r="AJ15" s="166"/>
      <c r="AK15" s="166"/>
      <c r="AL15" s="166"/>
      <c r="AM15" s="166"/>
      <c r="AN15" s="166"/>
      <c r="AO15" s="166"/>
      <c r="AP15" s="166"/>
      <c r="AQ15" s="166"/>
      <c r="AR15" s="166"/>
      <c r="AS15" s="166"/>
      <c r="AT15" s="166"/>
      <c r="AU15" s="557" t="s">
        <v>543</v>
      </c>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row>
    <row r="16" spans="1:71" s="167" customFormat="1" ht="12.95" customHeight="1" thickTop="1">
      <c r="A16" s="2662" t="s">
        <v>107</v>
      </c>
      <c r="B16" s="2663"/>
      <c r="C16" s="2663"/>
      <c r="D16" s="2663"/>
      <c r="E16" s="2663"/>
      <c r="F16" s="2663"/>
      <c r="G16" s="2663"/>
      <c r="H16" s="2663"/>
      <c r="I16" s="2663"/>
      <c r="J16" s="2663"/>
      <c r="K16" s="2663"/>
      <c r="L16" s="2663"/>
      <c r="M16" s="2663"/>
      <c r="N16" s="2663"/>
      <c r="O16" s="2663"/>
      <c r="P16" s="2663"/>
      <c r="Q16" s="2887" t="s">
        <v>131</v>
      </c>
      <c r="R16" s="2887"/>
      <c r="S16" s="2887"/>
      <c r="T16" s="2887"/>
      <c r="U16" s="2887"/>
      <c r="V16" s="2887"/>
      <c r="W16" s="2887"/>
      <c r="X16" s="2887"/>
      <c r="Y16" s="2887"/>
      <c r="Z16" s="2887"/>
      <c r="AA16" s="2887"/>
      <c r="AB16" s="2887"/>
      <c r="AC16" s="2752">
        <f>+SUM(I17:L26)</f>
        <v>0</v>
      </c>
      <c r="AD16" s="2752"/>
      <c r="AE16" s="2752"/>
      <c r="AF16" s="2752"/>
      <c r="AG16" s="2885" t="s">
        <v>95</v>
      </c>
      <c r="AH16" s="2885"/>
      <c r="AI16" s="2886"/>
      <c r="AJ16" s="166"/>
      <c r="AK16" s="166"/>
      <c r="AL16" s="166"/>
      <c r="AM16" s="166"/>
      <c r="AN16" s="166"/>
      <c r="AO16" s="166"/>
      <c r="AP16" s="166"/>
      <c r="AQ16" s="166"/>
      <c r="AR16" s="166"/>
      <c r="AS16" s="166"/>
      <c r="AT16" s="166"/>
      <c r="AU16" s="558" t="s">
        <v>571</v>
      </c>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row>
    <row r="17" spans="1:71" s="167" customFormat="1" ht="14.1" customHeight="1">
      <c r="A17" s="2778">
        <v>9.5</v>
      </c>
      <c r="B17" s="2779"/>
      <c r="C17" s="2782">
        <v>4.75</v>
      </c>
      <c r="D17" s="2783"/>
      <c r="E17" s="2786">
        <v>0.375</v>
      </c>
      <c r="F17" s="2787"/>
      <c r="G17" s="2790" t="s">
        <v>372</v>
      </c>
      <c r="H17" s="2791"/>
      <c r="I17" s="2753" t="str">
        <f>IF('Gradacion '!I11="","",IF(OR('Gradacion '!X10="ARENA TRITURADA DE CANTERA",'Gradacion '!X10="ARENA TRITURADA DE RIO",'Gradacion '!X10="ARENA CONCRETO FINA",'Gradacion '!X10="ARENA CONCRETO GRUESA"),'Gradacion '!AU37,""))</f>
        <v/>
      </c>
      <c r="J17" s="2754"/>
      <c r="K17" s="2754"/>
      <c r="L17" s="2755"/>
      <c r="M17" s="2754" t="str">
        <f>+IF(I17="","",+I17)</f>
        <v/>
      </c>
      <c r="N17" s="2754"/>
      <c r="O17" s="2754"/>
      <c r="P17" s="2756"/>
      <c r="Q17" s="2758" t="s">
        <v>111</v>
      </c>
      <c r="R17" s="2759"/>
      <c r="S17" s="2759"/>
      <c r="T17" s="2760"/>
      <c r="U17" s="2884"/>
      <c r="V17" s="2762"/>
      <c r="W17" s="2762"/>
      <c r="X17" s="2762"/>
      <c r="Y17" s="2761"/>
      <c r="Z17" s="2762"/>
      <c r="AA17" s="2762"/>
      <c r="AB17" s="2763"/>
      <c r="AC17" s="2753" t="str">
        <f>IF(I17="","",(IF(U17&gt;0,(100*(U17-Y17)/U17),0)))</f>
        <v/>
      </c>
      <c r="AD17" s="2754"/>
      <c r="AE17" s="2754"/>
      <c r="AF17" s="2755"/>
      <c r="AG17" s="2754" t="str">
        <f>IF(AC17="","",(AC17*M17/100))</f>
        <v/>
      </c>
      <c r="AH17" s="2754"/>
      <c r="AI17" s="2878"/>
      <c r="AJ17" s="166"/>
      <c r="AK17" s="166"/>
      <c r="AL17" s="166"/>
      <c r="AM17" s="166"/>
      <c r="AN17" s="166"/>
      <c r="AO17" s="166"/>
      <c r="AP17" s="166"/>
      <c r="AQ17" s="166"/>
      <c r="AR17" s="166"/>
      <c r="AS17" s="166"/>
      <c r="AT17" s="166"/>
      <c r="AU17" s="558" t="s">
        <v>570</v>
      </c>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row>
    <row r="18" spans="1:71" s="167" customFormat="1" ht="14.1" customHeight="1">
      <c r="A18" s="2780"/>
      <c r="B18" s="2781"/>
      <c r="C18" s="2784"/>
      <c r="D18" s="2785"/>
      <c r="E18" s="2788"/>
      <c r="F18" s="2789"/>
      <c r="G18" s="2571"/>
      <c r="H18" s="2792"/>
      <c r="I18" s="2748"/>
      <c r="J18" s="2565"/>
      <c r="K18" s="2565"/>
      <c r="L18" s="2749"/>
      <c r="M18" s="2565"/>
      <c r="N18" s="2565"/>
      <c r="O18" s="2565"/>
      <c r="P18" s="2757"/>
      <c r="Q18" s="2750" t="s">
        <v>383</v>
      </c>
      <c r="R18" s="2551"/>
      <c r="S18" s="2551"/>
      <c r="T18" s="2751"/>
      <c r="U18" s="2742"/>
      <c r="V18" s="2610"/>
      <c r="W18" s="2610"/>
      <c r="X18" s="2610"/>
      <c r="Y18" s="2609"/>
      <c r="Z18" s="2610"/>
      <c r="AA18" s="2610"/>
      <c r="AB18" s="2745"/>
      <c r="AC18" s="2748"/>
      <c r="AD18" s="2565"/>
      <c r="AE18" s="2565"/>
      <c r="AF18" s="2749"/>
      <c r="AG18" s="2565"/>
      <c r="AH18" s="2565"/>
      <c r="AI18" s="2566"/>
      <c r="AJ18" s="166"/>
      <c r="AK18" s="166"/>
      <c r="AL18" s="166"/>
      <c r="AM18" s="166"/>
      <c r="AN18" s="166"/>
      <c r="AO18" s="166"/>
      <c r="AP18" s="166"/>
      <c r="AQ18" s="166"/>
      <c r="AR18" s="166"/>
      <c r="AS18" s="166"/>
      <c r="AT18" s="166"/>
      <c r="AU18" s="558" t="s">
        <v>569</v>
      </c>
      <c r="AV18" s="166"/>
      <c r="AW18" s="166"/>
      <c r="AX18" s="166"/>
      <c r="AY18" s="166"/>
      <c r="AZ18" s="166"/>
      <c r="BA18" s="166"/>
      <c r="BB18" s="166"/>
      <c r="BC18" s="166"/>
      <c r="BD18" s="166"/>
      <c r="BE18" s="166"/>
      <c r="BF18" s="166"/>
      <c r="BG18" s="166"/>
      <c r="BH18" s="166"/>
      <c r="BI18" s="166"/>
      <c r="BJ18" s="166"/>
      <c r="BK18" s="166"/>
      <c r="BL18" s="166"/>
      <c r="BM18" s="166"/>
      <c r="BN18" s="166"/>
      <c r="BO18" s="166"/>
      <c r="BP18" s="166"/>
      <c r="BQ18" s="166"/>
      <c r="BR18" s="166"/>
      <c r="BS18" s="166"/>
    </row>
    <row r="19" spans="1:71" s="167" customFormat="1" ht="14.1" customHeight="1">
      <c r="A19" s="2793">
        <v>4.75</v>
      </c>
      <c r="B19" s="2794"/>
      <c r="C19" s="2805">
        <v>2.36</v>
      </c>
      <c r="D19" s="2806"/>
      <c r="E19" s="2802" t="s">
        <v>372</v>
      </c>
      <c r="F19" s="2803"/>
      <c r="G19" s="2557" t="s">
        <v>373</v>
      </c>
      <c r="H19" s="2804"/>
      <c r="I19" s="2746" t="str">
        <f>IF('Gradacion '!I11="","",'Gradacion '!AU39)</f>
        <v/>
      </c>
      <c r="J19" s="2561"/>
      <c r="K19" s="2561"/>
      <c r="L19" s="2747"/>
      <c r="M19" s="2561" t="str">
        <f>+IF(I19="","",+I19)</f>
        <v/>
      </c>
      <c r="N19" s="2561"/>
      <c r="O19" s="2561"/>
      <c r="P19" s="2773"/>
      <c r="Q19" s="2881" t="s">
        <v>112</v>
      </c>
      <c r="R19" s="2882"/>
      <c r="S19" s="2882"/>
      <c r="T19" s="2883"/>
      <c r="U19" s="2740"/>
      <c r="V19" s="2741"/>
      <c r="W19" s="2741"/>
      <c r="X19" s="2741"/>
      <c r="Y19" s="2743"/>
      <c r="Z19" s="2741"/>
      <c r="AA19" s="2741"/>
      <c r="AB19" s="2744"/>
      <c r="AC19" s="2746" t="str">
        <f>IF(I19="","",(IF(U19&gt;0,(100*(U19-Y19)/U19),0)))</f>
        <v/>
      </c>
      <c r="AD19" s="2561"/>
      <c r="AE19" s="2561"/>
      <c r="AF19" s="2747"/>
      <c r="AG19" s="2562" t="str">
        <f>IF(AC19="","",(AC19*M19/100))</f>
        <v/>
      </c>
      <c r="AH19" s="2561"/>
      <c r="AI19" s="2563"/>
      <c r="AJ19" s="166"/>
      <c r="AK19" s="166"/>
      <c r="AL19" s="166"/>
      <c r="AM19" s="166"/>
      <c r="AN19" s="166"/>
      <c r="AO19" s="166"/>
      <c r="AP19" s="166"/>
      <c r="AQ19" s="166"/>
      <c r="AR19" s="166"/>
      <c r="AS19" s="166"/>
      <c r="AT19" s="166"/>
      <c r="AU19" s="558" t="s">
        <v>568</v>
      </c>
      <c r="AV19" s="166"/>
      <c r="AW19" s="166"/>
      <c r="AX19" s="166"/>
      <c r="AY19" s="166"/>
      <c r="AZ19" s="166"/>
      <c r="BA19" s="166"/>
      <c r="BB19" s="166"/>
      <c r="BC19" s="166"/>
      <c r="BD19" s="166"/>
      <c r="BE19" s="166"/>
      <c r="BF19" s="166"/>
      <c r="BG19" s="166"/>
      <c r="BH19" s="166"/>
      <c r="BI19" s="166"/>
      <c r="BJ19" s="166"/>
      <c r="BK19" s="166"/>
      <c r="BL19" s="166"/>
      <c r="BM19" s="166"/>
      <c r="BN19" s="166"/>
      <c r="BO19" s="166"/>
      <c r="BP19" s="166"/>
      <c r="BQ19" s="166"/>
      <c r="BR19" s="166"/>
      <c r="BS19" s="166"/>
    </row>
    <row r="20" spans="1:71" s="167" customFormat="1" ht="14.1" customHeight="1">
      <c r="A20" s="2795"/>
      <c r="B20" s="2796"/>
      <c r="C20" s="2807"/>
      <c r="D20" s="2808"/>
      <c r="E20" s="2788"/>
      <c r="F20" s="2789"/>
      <c r="G20" s="2571"/>
      <c r="H20" s="2792"/>
      <c r="I20" s="2748"/>
      <c r="J20" s="2565"/>
      <c r="K20" s="2565"/>
      <c r="L20" s="2749"/>
      <c r="M20" s="2565"/>
      <c r="N20" s="2565"/>
      <c r="O20" s="2565"/>
      <c r="P20" s="2757"/>
      <c r="Q20" s="2750" t="s">
        <v>382</v>
      </c>
      <c r="R20" s="2551"/>
      <c r="S20" s="2551"/>
      <c r="T20" s="2751"/>
      <c r="U20" s="2742"/>
      <c r="V20" s="2610"/>
      <c r="W20" s="2610"/>
      <c r="X20" s="2610"/>
      <c r="Y20" s="2609"/>
      <c r="Z20" s="2610"/>
      <c r="AA20" s="2610"/>
      <c r="AB20" s="2745"/>
      <c r="AC20" s="2748"/>
      <c r="AD20" s="2565"/>
      <c r="AE20" s="2565"/>
      <c r="AF20" s="2749"/>
      <c r="AG20" s="2564"/>
      <c r="AH20" s="2565"/>
      <c r="AI20" s="2566"/>
      <c r="AJ20" s="166"/>
      <c r="AK20" s="166"/>
      <c r="AL20" s="166"/>
      <c r="AM20" s="166"/>
      <c r="AN20" s="166"/>
      <c r="AO20" s="166"/>
      <c r="AP20" s="166"/>
      <c r="AQ20" s="166"/>
      <c r="AR20" s="166"/>
      <c r="AS20" s="166"/>
      <c r="AT20" s="166"/>
      <c r="AU20" s="558" t="s">
        <v>567</v>
      </c>
      <c r="AV20" s="166"/>
      <c r="AW20" s="166"/>
      <c r="AX20" s="166"/>
      <c r="AY20" s="166"/>
      <c r="AZ20" s="166"/>
      <c r="BA20" s="166"/>
      <c r="BB20" s="166"/>
      <c r="BC20" s="166"/>
      <c r="BD20" s="166"/>
      <c r="BE20" s="166"/>
      <c r="BF20" s="166"/>
      <c r="BG20" s="166"/>
      <c r="BH20" s="166"/>
      <c r="BI20" s="166"/>
      <c r="BJ20" s="166"/>
      <c r="BK20" s="166"/>
      <c r="BL20" s="166"/>
      <c r="BM20" s="166"/>
      <c r="BN20" s="166"/>
      <c r="BO20" s="166"/>
      <c r="BP20" s="166"/>
      <c r="BQ20" s="166"/>
      <c r="BR20" s="166"/>
      <c r="BS20" s="166"/>
    </row>
    <row r="21" spans="1:71" s="167" customFormat="1" ht="14.1" customHeight="1">
      <c r="A21" s="2793">
        <v>2.36</v>
      </c>
      <c r="B21" s="2794"/>
      <c r="C21" s="2799">
        <v>1.18</v>
      </c>
      <c r="D21" s="2800"/>
      <c r="E21" s="2802" t="s">
        <v>373</v>
      </c>
      <c r="F21" s="2803"/>
      <c r="G21" s="2557" t="s">
        <v>374</v>
      </c>
      <c r="H21" s="2804"/>
      <c r="I21" s="2746" t="str">
        <f>IF('Gradacion '!I11="","",'Gradacion '!AU40)</f>
        <v/>
      </c>
      <c r="J21" s="2561"/>
      <c r="K21" s="2561"/>
      <c r="L21" s="2747"/>
      <c r="M21" s="2561" t="str">
        <f>+IF(I21="","",+I21)</f>
        <v/>
      </c>
      <c r="N21" s="2561"/>
      <c r="O21" s="2561"/>
      <c r="P21" s="2773"/>
      <c r="Q21" s="2582" t="s">
        <v>113</v>
      </c>
      <c r="R21" s="2568"/>
      <c r="S21" s="2568"/>
      <c r="T21" s="2583"/>
      <c r="U21" s="2740"/>
      <c r="V21" s="2741"/>
      <c r="W21" s="2741"/>
      <c r="X21" s="2741"/>
      <c r="Y21" s="2743"/>
      <c r="Z21" s="2741"/>
      <c r="AA21" s="2741"/>
      <c r="AB21" s="2744"/>
      <c r="AC21" s="2746" t="str">
        <f t="shared" ref="AC21" si="0">IF(I21="","",(IF(U21&gt;0,(100*(U21-Y21)/U21),0)))</f>
        <v/>
      </c>
      <c r="AD21" s="2561"/>
      <c r="AE21" s="2561"/>
      <c r="AF21" s="2747"/>
      <c r="AG21" s="2562" t="str">
        <f>IF(AC21="","",(AC21*M21/100))</f>
        <v/>
      </c>
      <c r="AH21" s="2561"/>
      <c r="AI21" s="2563"/>
      <c r="AJ21" s="166"/>
      <c r="AK21" s="166"/>
      <c r="AL21" s="166"/>
      <c r="AM21" s="166"/>
      <c r="AN21" s="166"/>
      <c r="AO21" s="166"/>
      <c r="AP21" s="166"/>
      <c r="AQ21" s="166"/>
      <c r="AR21" s="166"/>
      <c r="AS21" s="166"/>
      <c r="AT21" s="166"/>
      <c r="AU21" s="558" t="s">
        <v>566</v>
      </c>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row>
    <row r="22" spans="1:71" s="167" customFormat="1" ht="14.1" customHeight="1">
      <c r="A22" s="2797"/>
      <c r="B22" s="2798"/>
      <c r="C22" s="2801"/>
      <c r="D22" s="2800"/>
      <c r="E22" s="2788"/>
      <c r="F22" s="2789"/>
      <c r="G22" s="2571"/>
      <c r="H22" s="2792"/>
      <c r="I22" s="2748"/>
      <c r="J22" s="2565"/>
      <c r="K22" s="2565"/>
      <c r="L22" s="2749"/>
      <c r="M22" s="2565"/>
      <c r="N22" s="2565"/>
      <c r="O22" s="2565"/>
      <c r="P22" s="2757"/>
      <c r="Q22" s="2750" t="s">
        <v>384</v>
      </c>
      <c r="R22" s="2551"/>
      <c r="S22" s="2551"/>
      <c r="T22" s="2751"/>
      <c r="U22" s="2742"/>
      <c r="V22" s="2610"/>
      <c r="W22" s="2610"/>
      <c r="X22" s="2610"/>
      <c r="Y22" s="2609"/>
      <c r="Z22" s="2610"/>
      <c r="AA22" s="2610"/>
      <c r="AB22" s="2745"/>
      <c r="AC22" s="2748"/>
      <c r="AD22" s="2565"/>
      <c r="AE22" s="2565"/>
      <c r="AF22" s="2749"/>
      <c r="AG22" s="2564"/>
      <c r="AH22" s="2565"/>
      <c r="AI22" s="2566"/>
      <c r="AJ22" s="166"/>
      <c r="AK22" s="166"/>
      <c r="AL22" s="166"/>
      <c r="AM22" s="166"/>
      <c r="AN22" s="166"/>
      <c r="AO22" s="166"/>
      <c r="AP22" s="166"/>
      <c r="AQ22" s="166"/>
      <c r="AR22" s="166"/>
      <c r="AS22" s="166"/>
      <c r="AT22" s="166"/>
      <c r="AU22" s="558" t="s">
        <v>565</v>
      </c>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row>
    <row r="23" spans="1:71" s="167" customFormat="1" ht="14.1" customHeight="1">
      <c r="A23" s="2793">
        <v>1.18</v>
      </c>
      <c r="B23" s="2794"/>
      <c r="C23" s="2829" t="s">
        <v>389</v>
      </c>
      <c r="D23" s="2806"/>
      <c r="E23" s="2842" t="str">
        <f>+G21</f>
        <v>N° 16</v>
      </c>
      <c r="F23" s="2794"/>
      <c r="G23" s="2870" t="s">
        <v>387</v>
      </c>
      <c r="H23" s="2806"/>
      <c r="I23" s="2746" t="str">
        <f>IF('Gradacion '!I11="","",'Gradacion '!AU41)</f>
        <v/>
      </c>
      <c r="J23" s="2561"/>
      <c r="K23" s="2561"/>
      <c r="L23" s="2747"/>
      <c r="M23" s="2561" t="str">
        <f>+IF(I23="","",+I23)</f>
        <v/>
      </c>
      <c r="N23" s="2561"/>
      <c r="O23" s="2561"/>
      <c r="P23" s="2773"/>
      <c r="Q23" s="2582" t="s">
        <v>389</v>
      </c>
      <c r="R23" s="2568"/>
      <c r="S23" s="2568"/>
      <c r="T23" s="2583"/>
      <c r="U23" s="2740"/>
      <c r="V23" s="2741"/>
      <c r="W23" s="2741"/>
      <c r="X23" s="2741"/>
      <c r="Y23" s="2743"/>
      <c r="Z23" s="2741"/>
      <c r="AA23" s="2741"/>
      <c r="AB23" s="2744"/>
      <c r="AC23" s="2746" t="str">
        <f t="shared" ref="AC23" si="1">IF(I23="","",(IF(U23&gt;0,(100*(U23-Y23)/U23),0)))</f>
        <v/>
      </c>
      <c r="AD23" s="2561"/>
      <c r="AE23" s="2561"/>
      <c r="AF23" s="2747"/>
      <c r="AG23" s="2562" t="str">
        <f>IF(AC23="","",(AC23*M23/100))</f>
        <v/>
      </c>
      <c r="AH23" s="2561"/>
      <c r="AI23" s="2563"/>
      <c r="AJ23" s="166"/>
      <c r="AK23" s="166"/>
      <c r="AL23" s="166"/>
      <c r="AM23" s="166"/>
      <c r="AN23" s="166"/>
      <c r="AO23" s="166"/>
      <c r="AP23" s="166"/>
      <c r="AQ23" s="166"/>
      <c r="AR23" s="166"/>
      <c r="AS23" s="166"/>
      <c r="AT23" s="166"/>
      <c r="AU23" s="558" t="s">
        <v>564</v>
      </c>
      <c r="AV23" s="166"/>
      <c r="AW23" s="166"/>
      <c r="AX23" s="166"/>
      <c r="AY23" s="166"/>
      <c r="AZ23" s="166"/>
      <c r="BA23" s="166"/>
      <c r="BB23" s="166"/>
      <c r="BC23" s="166"/>
      <c r="BD23" s="166"/>
      <c r="BE23" s="166"/>
      <c r="BF23" s="166"/>
      <c r="BG23" s="166"/>
      <c r="BH23" s="166"/>
      <c r="BI23" s="166"/>
      <c r="BJ23" s="166"/>
      <c r="BK23" s="166"/>
      <c r="BL23" s="166"/>
      <c r="BM23" s="166"/>
      <c r="BN23" s="166"/>
      <c r="BO23" s="166"/>
      <c r="BP23" s="166"/>
      <c r="BQ23" s="166"/>
      <c r="BR23" s="166"/>
      <c r="BS23" s="166"/>
    </row>
    <row r="24" spans="1:71" s="167" customFormat="1" ht="14.1" customHeight="1">
      <c r="A24" s="2797"/>
      <c r="B24" s="2798"/>
      <c r="C24" s="2801"/>
      <c r="D24" s="2800"/>
      <c r="E24" s="2843"/>
      <c r="F24" s="2796"/>
      <c r="G24" s="2871"/>
      <c r="H24" s="2808"/>
      <c r="I24" s="2748"/>
      <c r="J24" s="2565"/>
      <c r="K24" s="2565"/>
      <c r="L24" s="2749"/>
      <c r="M24" s="2565"/>
      <c r="N24" s="2565"/>
      <c r="O24" s="2565"/>
      <c r="P24" s="2757"/>
      <c r="Q24" s="2750" t="s">
        <v>385</v>
      </c>
      <c r="R24" s="2551"/>
      <c r="S24" s="2551"/>
      <c r="T24" s="2751"/>
      <c r="U24" s="2742"/>
      <c r="V24" s="2610"/>
      <c r="W24" s="2610"/>
      <c r="X24" s="2610"/>
      <c r="Y24" s="2609"/>
      <c r="Z24" s="2610"/>
      <c r="AA24" s="2610"/>
      <c r="AB24" s="2745"/>
      <c r="AC24" s="2748"/>
      <c r="AD24" s="2565"/>
      <c r="AE24" s="2565"/>
      <c r="AF24" s="2749"/>
      <c r="AG24" s="2564"/>
      <c r="AH24" s="2565"/>
      <c r="AI24" s="25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c r="BJ24" s="166"/>
      <c r="BK24" s="166"/>
      <c r="BL24" s="166"/>
      <c r="BM24" s="166"/>
      <c r="BN24" s="166"/>
      <c r="BO24" s="166"/>
      <c r="BP24" s="166"/>
      <c r="BQ24" s="166"/>
      <c r="BR24" s="166"/>
      <c r="BS24" s="166"/>
    </row>
    <row r="25" spans="1:71" s="167" customFormat="1" ht="14.1" customHeight="1">
      <c r="A25" s="2828" t="s">
        <v>389</v>
      </c>
      <c r="B25" s="2794"/>
      <c r="C25" s="2829" t="s">
        <v>390</v>
      </c>
      <c r="D25" s="2806"/>
      <c r="E25" s="2830" t="s">
        <v>375</v>
      </c>
      <c r="F25" s="2798"/>
      <c r="G25" s="2832" t="s">
        <v>377</v>
      </c>
      <c r="H25" s="2800"/>
      <c r="I25" s="2553" t="str">
        <f>IF('Gradacion '!I11="","",'Gradacion '!AU42)</f>
        <v/>
      </c>
      <c r="J25" s="2554"/>
      <c r="K25" s="2554"/>
      <c r="L25" s="2555"/>
      <c r="M25" s="2554" t="str">
        <f>+IF(I25="","",+I25)</f>
        <v/>
      </c>
      <c r="N25" s="2554"/>
      <c r="O25" s="2554"/>
      <c r="P25" s="2874"/>
      <c r="Q25" s="2582" t="s">
        <v>390</v>
      </c>
      <c r="R25" s="2568"/>
      <c r="S25" s="2568"/>
      <c r="T25" s="2583"/>
      <c r="U25" s="2580"/>
      <c r="V25" s="2581"/>
      <c r="W25" s="2581"/>
      <c r="X25" s="2581"/>
      <c r="Y25" s="2607"/>
      <c r="Z25" s="2581"/>
      <c r="AA25" s="2581"/>
      <c r="AB25" s="2614"/>
      <c r="AC25" s="2553" t="str">
        <f>IF(I25="","",(IF(U25&gt;0,(100*(U25-Y25)/U25),0)))</f>
        <v/>
      </c>
      <c r="AD25" s="2554"/>
      <c r="AE25" s="2554"/>
      <c r="AF25" s="2554"/>
      <c r="AG25" s="2767" t="str">
        <f>IF(AC25="","",AC25*M25/100)</f>
        <v/>
      </c>
      <c r="AH25" s="2768"/>
      <c r="AI25" s="2769"/>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row>
    <row r="26" spans="1:71" s="167" customFormat="1" ht="14.1" customHeight="1">
      <c r="A26" s="2797"/>
      <c r="B26" s="2798"/>
      <c r="C26" s="2801"/>
      <c r="D26" s="2800"/>
      <c r="E26" s="2831"/>
      <c r="F26" s="2798"/>
      <c r="G26" s="2833"/>
      <c r="H26" s="2800"/>
      <c r="I26" s="2553"/>
      <c r="J26" s="2554"/>
      <c r="K26" s="2554"/>
      <c r="L26" s="2555"/>
      <c r="M26" s="2554"/>
      <c r="N26" s="2554"/>
      <c r="O26" s="2554"/>
      <c r="P26" s="2874"/>
      <c r="Q26" s="2582" t="s">
        <v>386</v>
      </c>
      <c r="R26" s="2568"/>
      <c r="S26" s="2568"/>
      <c r="T26" s="2583"/>
      <c r="U26" s="2580"/>
      <c r="V26" s="2581"/>
      <c r="W26" s="2581"/>
      <c r="X26" s="2581"/>
      <c r="Y26" s="2607"/>
      <c r="Z26" s="2581"/>
      <c r="AA26" s="2581"/>
      <c r="AB26" s="2614"/>
      <c r="AC26" s="2553"/>
      <c r="AD26" s="2554"/>
      <c r="AE26" s="2554"/>
      <c r="AF26" s="2554"/>
      <c r="AG26" s="2770"/>
      <c r="AH26" s="2771"/>
      <c r="AI26" s="2772"/>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row>
    <row r="27" spans="1:71" s="167" customFormat="1" ht="12.95" customHeight="1" thickBot="1">
      <c r="A27" s="2626" t="s">
        <v>132</v>
      </c>
      <c r="B27" s="2627"/>
      <c r="C27" s="2627"/>
      <c r="D27" s="2627"/>
      <c r="E27" s="2627"/>
      <c r="F27" s="2627"/>
      <c r="G27" s="2627"/>
      <c r="H27" s="2627"/>
      <c r="I27" s="2627"/>
      <c r="J27" s="2627"/>
      <c r="K27" s="2627"/>
      <c r="L27" s="2627"/>
      <c r="M27" s="2627"/>
      <c r="N27" s="2627"/>
      <c r="O27" s="2627"/>
      <c r="P27" s="2627"/>
      <c r="Q27" s="2627"/>
      <c r="R27" s="2627"/>
      <c r="S27" s="2627"/>
      <c r="T27" s="2627"/>
      <c r="U27" s="2774" t="str">
        <f>IF(AG19="","",(SUM(AG17:AI26)))</f>
        <v/>
      </c>
      <c r="V27" s="2774"/>
      <c r="W27" s="2774"/>
      <c r="X27" s="2774"/>
      <c r="Y27" s="2774"/>
      <c r="Z27" s="2774"/>
      <c r="AA27" s="2774"/>
      <c r="AB27" s="2774"/>
      <c r="AC27" s="2774"/>
      <c r="AD27" s="2774"/>
      <c r="AE27" s="2774"/>
      <c r="AF27" s="2774"/>
      <c r="AG27" s="2774"/>
      <c r="AH27" s="2774"/>
      <c r="AI27" s="2775"/>
      <c r="AJ27" s="2844">
        <f>SUM(I17:I26)</f>
        <v>0</v>
      </c>
      <c r="AK27" s="2844"/>
      <c r="AL27" s="2844"/>
      <c r="AM27" s="2845"/>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row>
    <row r="28" spans="1:71" s="167" customFormat="1" ht="15" customHeight="1" thickTop="1">
      <c r="A28" s="2540" t="s">
        <v>114</v>
      </c>
      <c r="B28" s="2541"/>
      <c r="C28" s="2541"/>
      <c r="D28" s="2541"/>
      <c r="E28" s="2541"/>
      <c r="F28" s="2541"/>
      <c r="G28" s="2541"/>
      <c r="H28" s="2541"/>
      <c r="I28" s="2541"/>
      <c r="J28" s="2541"/>
      <c r="K28" s="2541"/>
      <c r="L28" s="2541"/>
      <c r="M28" s="2541"/>
      <c r="N28" s="2541"/>
      <c r="O28" s="2541"/>
      <c r="P28" s="2541"/>
      <c r="Q28" s="2857" t="s">
        <v>133</v>
      </c>
      <c r="R28" s="2857"/>
      <c r="S28" s="2857"/>
      <c r="T28" s="2857"/>
      <c r="U28" s="2857"/>
      <c r="V28" s="2857"/>
      <c r="W28" s="2857"/>
      <c r="X28" s="2857"/>
      <c r="Y28" s="2857"/>
      <c r="Z28" s="2857"/>
      <c r="AA28" s="2857"/>
      <c r="AB28" s="2857"/>
      <c r="AC28" s="2542">
        <f>+SUM(I29:L35)</f>
        <v>0</v>
      </c>
      <c r="AD28" s="2542"/>
      <c r="AE28" s="2542"/>
      <c r="AF28" s="2542"/>
      <c r="AG28" s="2543" t="s">
        <v>95</v>
      </c>
      <c r="AH28" s="2543"/>
      <c r="AI28" s="2544"/>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c r="BJ28" s="166"/>
      <c r="BK28" s="166"/>
      <c r="BL28" s="166"/>
      <c r="BM28" s="166"/>
      <c r="BN28" s="166"/>
      <c r="BO28" s="166"/>
      <c r="BP28" s="166"/>
      <c r="BQ28" s="166"/>
      <c r="BR28" s="166"/>
      <c r="BS28" s="166"/>
    </row>
    <row r="29" spans="1:71" s="167" customFormat="1" ht="14.1" customHeight="1">
      <c r="A29" s="2834">
        <v>63</v>
      </c>
      <c r="B29" s="2835"/>
      <c r="C29" s="2836">
        <v>50</v>
      </c>
      <c r="D29" s="2837"/>
      <c r="E29" s="2838">
        <v>2.5</v>
      </c>
      <c r="F29" s="2839"/>
      <c r="G29" s="2840">
        <v>2</v>
      </c>
      <c r="H29" s="2841"/>
      <c r="I29" s="2846" t="str">
        <f>IF('Gradacion '!I11="","",'Gradacion '!AU43)</f>
        <v/>
      </c>
      <c r="J29" s="2605"/>
      <c r="K29" s="2605"/>
      <c r="L29" s="2605"/>
      <c r="M29" s="2604" t="str">
        <f>IF(I29="","",SUM(I29:L30))</f>
        <v/>
      </c>
      <c r="N29" s="2605"/>
      <c r="O29" s="2605"/>
      <c r="P29" s="2606"/>
      <c r="Q29" s="2547" t="s">
        <v>115</v>
      </c>
      <c r="R29" s="2548"/>
      <c r="S29" s="2548"/>
      <c r="T29" s="2549"/>
      <c r="U29" s="2816"/>
      <c r="V29" s="2812"/>
      <c r="W29" s="2812">
        <f>+U29+U30</f>
        <v>0</v>
      </c>
      <c r="X29" s="2813"/>
      <c r="Y29" s="2809"/>
      <c r="Z29" s="2810"/>
      <c r="AA29" s="2810"/>
      <c r="AB29" s="2811"/>
      <c r="AC29" s="2846"/>
      <c r="AD29" s="2605"/>
      <c r="AE29" s="2605"/>
      <c r="AF29" s="2605"/>
      <c r="AG29" s="2604"/>
      <c r="AH29" s="2605"/>
      <c r="AI29" s="260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row>
    <row r="30" spans="1:71" s="167" customFormat="1" ht="14.1" customHeight="1">
      <c r="A30" s="2598">
        <v>50</v>
      </c>
      <c r="B30" s="2599"/>
      <c r="C30" s="2600">
        <v>37.5</v>
      </c>
      <c r="D30" s="2601"/>
      <c r="E30" s="2602">
        <v>2</v>
      </c>
      <c r="F30" s="2603"/>
      <c r="G30" s="2872">
        <v>1.5</v>
      </c>
      <c r="H30" s="2873"/>
      <c r="I30" s="2585" t="str">
        <f>IF('Gradacion '!I11="","",'Gradacion '!AU44)</f>
        <v/>
      </c>
      <c r="J30" s="2565"/>
      <c r="K30" s="2565"/>
      <c r="L30" s="2565"/>
      <c r="M30" s="2564"/>
      <c r="N30" s="2565"/>
      <c r="O30" s="2565"/>
      <c r="P30" s="2566"/>
      <c r="Q30" s="2550" t="s">
        <v>116</v>
      </c>
      <c r="R30" s="2551"/>
      <c r="S30" s="2551"/>
      <c r="T30" s="2552"/>
      <c r="U30" s="2612"/>
      <c r="V30" s="2856"/>
      <c r="W30" s="2814"/>
      <c r="X30" s="2815"/>
      <c r="Y30" s="2609"/>
      <c r="Z30" s="2610"/>
      <c r="AA30" s="2610"/>
      <c r="AB30" s="2611"/>
      <c r="AC30" s="2585"/>
      <c r="AD30" s="2565"/>
      <c r="AE30" s="2565"/>
      <c r="AF30" s="2565"/>
      <c r="AG30" s="2564"/>
      <c r="AH30" s="2565"/>
      <c r="AI30" s="25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row>
    <row r="31" spans="1:71" s="167" customFormat="1" ht="14.1" customHeight="1">
      <c r="A31" s="2592">
        <v>37.5</v>
      </c>
      <c r="B31" s="2593"/>
      <c r="C31" s="2594">
        <v>25</v>
      </c>
      <c r="D31" s="2595"/>
      <c r="E31" s="2596">
        <v>1.5</v>
      </c>
      <c r="F31" s="2597"/>
      <c r="G31" s="2558">
        <v>1</v>
      </c>
      <c r="H31" s="2559"/>
      <c r="I31" s="2560" t="str">
        <f>IF('Gradacion '!I11="","",'Gradacion '!AU45)</f>
        <v/>
      </c>
      <c r="J31" s="2561"/>
      <c r="K31" s="2561"/>
      <c r="L31" s="2561"/>
      <c r="M31" s="2562" t="str">
        <f>+IF(I31="","",SUM(I31:L32))</f>
        <v/>
      </c>
      <c r="N31" s="2561"/>
      <c r="O31" s="2561"/>
      <c r="P31" s="2563"/>
      <c r="Q31" s="2567" t="s">
        <v>117</v>
      </c>
      <c r="R31" s="2568"/>
      <c r="S31" s="2568"/>
      <c r="T31" s="2569"/>
      <c r="U31" s="2588"/>
      <c r="V31" s="2589"/>
      <c r="W31" s="2869">
        <f>+U31+U32</f>
        <v>0</v>
      </c>
      <c r="X31" s="2869"/>
      <c r="Y31" s="2607"/>
      <c r="Z31" s="2581"/>
      <c r="AA31" s="2581"/>
      <c r="AB31" s="2608"/>
      <c r="AC31" s="2584" t="str">
        <f>IF(M31="","",IF(Y31="","",(IF(W31&gt;0,(100*(W31-Y31)/W31),0))))</f>
        <v/>
      </c>
      <c r="AD31" s="2554"/>
      <c r="AE31" s="2554"/>
      <c r="AF31" s="2554"/>
      <c r="AG31" s="2586" t="str">
        <f>+IF(AC31="","",(AC31*M31/100))</f>
        <v/>
      </c>
      <c r="AH31" s="2554"/>
      <c r="AI31" s="2587"/>
      <c r="AJ31" s="166"/>
      <c r="AK31" s="166"/>
      <c r="AL31" s="166"/>
      <c r="AM31" s="166"/>
      <c r="AN31" s="166"/>
      <c r="AO31" s="166"/>
      <c r="AP31" s="166"/>
      <c r="AQ31" s="166"/>
      <c r="AR31" s="166"/>
      <c r="AS31" s="2827"/>
      <c r="AT31" s="2827"/>
      <c r="AU31" s="2827"/>
      <c r="AV31" s="2827"/>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row>
    <row r="32" spans="1:71" s="167" customFormat="1" ht="14.1" customHeight="1">
      <c r="A32" s="2598">
        <v>25</v>
      </c>
      <c r="B32" s="2599"/>
      <c r="C32" s="2600">
        <v>19</v>
      </c>
      <c r="D32" s="2601"/>
      <c r="E32" s="2602">
        <v>1</v>
      </c>
      <c r="F32" s="2603"/>
      <c r="G32" s="2572">
        <v>0.75</v>
      </c>
      <c r="H32" s="2573"/>
      <c r="I32" s="2585" t="str">
        <f>IF('Gradacion '!I11="","",'Gradacion '!AU46)</f>
        <v/>
      </c>
      <c r="J32" s="2565"/>
      <c r="K32" s="2565"/>
      <c r="L32" s="2565"/>
      <c r="M32" s="2564"/>
      <c r="N32" s="2565"/>
      <c r="O32" s="2565"/>
      <c r="P32" s="2566"/>
      <c r="Q32" s="2550" t="s">
        <v>118</v>
      </c>
      <c r="R32" s="2551"/>
      <c r="S32" s="2551"/>
      <c r="T32" s="2552"/>
      <c r="U32" s="2612"/>
      <c r="V32" s="2613"/>
      <c r="W32" s="2591"/>
      <c r="X32" s="2591"/>
      <c r="Y32" s="2609"/>
      <c r="Z32" s="2610"/>
      <c r="AA32" s="2610"/>
      <c r="AB32" s="2611"/>
      <c r="AC32" s="2585"/>
      <c r="AD32" s="2565"/>
      <c r="AE32" s="2565"/>
      <c r="AF32" s="2565"/>
      <c r="AG32" s="2564"/>
      <c r="AH32" s="2565"/>
      <c r="AI32" s="25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row>
    <row r="33" spans="1:71" s="167" customFormat="1" ht="14.1" customHeight="1">
      <c r="A33" s="2592">
        <v>19</v>
      </c>
      <c r="B33" s="2593"/>
      <c r="C33" s="2594">
        <v>12.5</v>
      </c>
      <c r="D33" s="2595"/>
      <c r="E33" s="2556">
        <v>0.75</v>
      </c>
      <c r="F33" s="2557"/>
      <c r="G33" s="2558">
        <v>0.5</v>
      </c>
      <c r="H33" s="2559"/>
      <c r="I33" s="2560" t="str">
        <f>IF('Gradacion '!I11="","",'Gradacion '!AU47)</f>
        <v/>
      </c>
      <c r="J33" s="2561"/>
      <c r="K33" s="2561"/>
      <c r="L33" s="2561"/>
      <c r="M33" s="2562" t="str">
        <f>+IF(I33="","",SUM(I33:L34))</f>
        <v/>
      </c>
      <c r="N33" s="2561"/>
      <c r="O33" s="2561"/>
      <c r="P33" s="2563"/>
      <c r="Q33" s="2567" t="s">
        <v>119</v>
      </c>
      <c r="R33" s="2568"/>
      <c r="S33" s="2568"/>
      <c r="T33" s="2569"/>
      <c r="U33" s="2588"/>
      <c r="V33" s="2589"/>
      <c r="W33" s="2590">
        <f>+U33+U34</f>
        <v>0</v>
      </c>
      <c r="X33" s="2590"/>
      <c r="Y33" s="2743"/>
      <c r="Z33" s="2741"/>
      <c r="AA33" s="2741"/>
      <c r="AB33" s="2868"/>
      <c r="AC33" s="2584" t="str">
        <f>IF(M33="","",IF(Y33="","",(IF(W33&gt;0,(100*(W33-Y33)/W33),0))))</f>
        <v/>
      </c>
      <c r="AD33" s="2554"/>
      <c r="AE33" s="2554"/>
      <c r="AF33" s="2554"/>
      <c r="AG33" s="2586" t="str">
        <f>+IF(AC33="","",(AC33*M33/100))</f>
        <v/>
      </c>
      <c r="AH33" s="2554"/>
      <c r="AI33" s="2587"/>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66"/>
      <c r="BR33" s="166"/>
      <c r="BS33" s="166"/>
    </row>
    <row r="34" spans="1:71" s="167" customFormat="1" ht="14.1" customHeight="1">
      <c r="A34" s="2598">
        <v>12.5</v>
      </c>
      <c r="B34" s="2599"/>
      <c r="C34" s="2600">
        <v>9.5</v>
      </c>
      <c r="D34" s="2601"/>
      <c r="E34" s="2570">
        <v>0.5</v>
      </c>
      <c r="F34" s="2571"/>
      <c r="G34" s="2572">
        <v>0.375</v>
      </c>
      <c r="H34" s="2573"/>
      <c r="I34" s="2585" t="str">
        <f>IF('Gradacion '!I11="","",'Gradacion '!AU48)</f>
        <v/>
      </c>
      <c r="J34" s="2565"/>
      <c r="K34" s="2565"/>
      <c r="L34" s="2565"/>
      <c r="M34" s="2564"/>
      <c r="N34" s="2565"/>
      <c r="O34" s="2565"/>
      <c r="P34" s="2566"/>
      <c r="Q34" s="2550" t="s">
        <v>120</v>
      </c>
      <c r="R34" s="2551"/>
      <c r="S34" s="2551"/>
      <c r="T34" s="2552"/>
      <c r="U34" s="2612"/>
      <c r="V34" s="2613"/>
      <c r="W34" s="2591"/>
      <c r="X34" s="2591"/>
      <c r="Y34" s="2609"/>
      <c r="Z34" s="2610"/>
      <c r="AA34" s="2610"/>
      <c r="AB34" s="2611"/>
      <c r="AC34" s="2585"/>
      <c r="AD34" s="2565"/>
      <c r="AE34" s="2565"/>
      <c r="AF34" s="2565"/>
      <c r="AG34" s="2564"/>
      <c r="AH34" s="2565"/>
      <c r="AI34" s="25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66"/>
      <c r="BR34" s="166"/>
      <c r="BS34" s="166"/>
    </row>
    <row r="35" spans="1:71" s="167" customFormat="1" ht="24.95" customHeight="1">
      <c r="A35" s="2654">
        <v>9.5</v>
      </c>
      <c r="B35" s="2655"/>
      <c r="C35" s="2656">
        <v>4.75</v>
      </c>
      <c r="D35" s="2657"/>
      <c r="E35" s="2658">
        <v>0.375</v>
      </c>
      <c r="F35" s="2659"/>
      <c r="G35" s="2617" t="s">
        <v>372</v>
      </c>
      <c r="H35" s="2618"/>
      <c r="I35" s="2619" t="str">
        <f>IF('Gradacion '!I11="","",IF(I17="",'Gradacion '!AU37,""))</f>
        <v/>
      </c>
      <c r="J35" s="2620"/>
      <c r="K35" s="2620"/>
      <c r="L35" s="2620"/>
      <c r="M35" s="2621" t="str">
        <f>+IF(I35="","",+I35)</f>
        <v/>
      </c>
      <c r="N35" s="2620"/>
      <c r="O35" s="2620"/>
      <c r="P35" s="2622"/>
      <c r="Q35" s="2623" t="s">
        <v>381</v>
      </c>
      <c r="R35" s="2624"/>
      <c r="S35" s="2624"/>
      <c r="T35" s="2625"/>
      <c r="U35" s="2645"/>
      <c r="V35" s="2646"/>
      <c r="W35" s="2646"/>
      <c r="X35" s="2646"/>
      <c r="Y35" s="2628"/>
      <c r="Z35" s="2629"/>
      <c r="AA35" s="2629"/>
      <c r="AB35" s="2630"/>
      <c r="AC35" s="2619">
        <f>IF(U35&gt;0,(100*(U35-Y35)/U35),0)</f>
        <v>0</v>
      </c>
      <c r="AD35" s="2620"/>
      <c r="AE35" s="2620"/>
      <c r="AF35" s="2620"/>
      <c r="AG35" s="2621" t="str">
        <f>+IF(M35="","",(AC35*M35/100))</f>
        <v/>
      </c>
      <c r="AH35" s="2620"/>
      <c r="AI35" s="2622"/>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66"/>
      <c r="BR35" s="166"/>
      <c r="BS35" s="166"/>
    </row>
    <row r="36" spans="1:71" s="167" customFormat="1" ht="12.95" customHeight="1" thickBot="1">
      <c r="A36" s="2626" t="s">
        <v>132</v>
      </c>
      <c r="B36" s="2627"/>
      <c r="C36" s="2627"/>
      <c r="D36" s="2627"/>
      <c r="E36" s="2627"/>
      <c r="F36" s="2627"/>
      <c r="G36" s="2627"/>
      <c r="H36" s="2627"/>
      <c r="I36" s="811"/>
      <c r="J36" s="811"/>
      <c r="K36" s="812"/>
      <c r="L36" s="812"/>
      <c r="M36" s="358"/>
      <c r="N36" s="358"/>
      <c r="O36" s="358"/>
      <c r="P36" s="358"/>
      <c r="Q36" s="359"/>
      <c r="R36" s="359"/>
      <c r="S36" s="359"/>
      <c r="T36" s="359"/>
      <c r="U36" s="2660">
        <f>SUM(AG29:AI35)</f>
        <v>0</v>
      </c>
      <c r="V36" s="2660"/>
      <c r="W36" s="2660"/>
      <c r="X36" s="2660"/>
      <c r="Y36" s="2660"/>
      <c r="Z36" s="2660"/>
      <c r="AA36" s="2660"/>
      <c r="AB36" s="2660"/>
      <c r="AC36" s="2660"/>
      <c r="AD36" s="2660"/>
      <c r="AE36" s="2660"/>
      <c r="AF36" s="2660"/>
      <c r="AG36" s="2660"/>
      <c r="AH36" s="2660"/>
      <c r="AI36" s="2661"/>
      <c r="AJ36" s="2615">
        <f>SUM(I29:L35)</f>
        <v>0</v>
      </c>
      <c r="AK36" s="2615"/>
      <c r="AL36" s="2615"/>
      <c r="AM36" s="261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row>
    <row r="37" spans="1:71" s="167" customFormat="1" ht="14.1" customHeight="1" thickTop="1">
      <c r="A37" s="2662" t="s">
        <v>121</v>
      </c>
      <c r="B37" s="2663"/>
      <c r="C37" s="2663"/>
      <c r="D37" s="2663"/>
      <c r="E37" s="2663"/>
      <c r="F37" s="2663"/>
      <c r="G37" s="2663"/>
      <c r="H37" s="2663"/>
      <c r="I37" s="2663"/>
      <c r="J37" s="2663"/>
      <c r="K37" s="2663"/>
      <c r="L37" s="2663"/>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4"/>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row>
    <row r="38" spans="1:71" s="167" customFormat="1" ht="14.1" customHeight="1">
      <c r="A38" s="2641" t="s">
        <v>108</v>
      </c>
      <c r="B38" s="2642"/>
      <c r="C38" s="2642"/>
      <c r="D38" s="2643"/>
      <c r="E38" s="2644" t="s">
        <v>124</v>
      </c>
      <c r="F38" s="2642"/>
      <c r="G38" s="2642"/>
      <c r="H38" s="2643"/>
      <c r="I38" s="2633" t="s">
        <v>349</v>
      </c>
      <c r="J38" s="2634"/>
      <c r="K38" s="2634"/>
      <c r="L38" s="2635"/>
      <c r="M38" s="2667" t="s">
        <v>122</v>
      </c>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9"/>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row>
    <row r="39" spans="1:71" s="167" customFormat="1" ht="17.25" customHeight="1">
      <c r="A39" s="2647" t="s">
        <v>51</v>
      </c>
      <c r="B39" s="2648"/>
      <c r="C39" s="2649" t="s">
        <v>110</v>
      </c>
      <c r="D39" s="2650"/>
      <c r="E39" s="2651" t="s">
        <v>51</v>
      </c>
      <c r="F39" s="2652"/>
      <c r="G39" s="2648" t="s">
        <v>110</v>
      </c>
      <c r="H39" s="2653"/>
      <c r="I39" s="2636"/>
      <c r="J39" s="2637"/>
      <c r="K39" s="2637"/>
      <c r="L39" s="2638"/>
      <c r="M39" s="2639" t="s">
        <v>632</v>
      </c>
      <c r="N39" s="2640"/>
      <c r="O39" s="2668" t="s">
        <v>95</v>
      </c>
      <c r="P39" s="2858"/>
      <c r="Q39" s="2665" t="s">
        <v>473</v>
      </c>
      <c r="R39" s="2666"/>
      <c r="S39" s="2666"/>
      <c r="T39" s="50" t="s">
        <v>95</v>
      </c>
      <c r="U39" s="2639" t="s">
        <v>474</v>
      </c>
      <c r="V39" s="2640"/>
      <c r="W39" s="2640"/>
      <c r="X39" s="2640"/>
      <c r="Y39" s="2668" t="s">
        <v>95</v>
      </c>
      <c r="Z39" s="2668"/>
      <c r="AA39" s="2668"/>
      <c r="AB39" s="2858"/>
      <c r="AC39" s="2667" t="s">
        <v>134</v>
      </c>
      <c r="AD39" s="2668"/>
      <c r="AE39" s="2668"/>
      <c r="AF39" s="2668"/>
      <c r="AG39" s="2668" t="s">
        <v>95</v>
      </c>
      <c r="AH39" s="2668"/>
      <c r="AI39" s="2669"/>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66"/>
      <c r="BR39" s="166"/>
      <c r="BS39" s="166"/>
    </row>
    <row r="40" spans="1:71" s="167" customFormat="1" ht="14.1" customHeight="1">
      <c r="A40" s="2687">
        <v>63</v>
      </c>
      <c r="B40" s="2688"/>
      <c r="C40" s="2689">
        <v>37.5</v>
      </c>
      <c r="D40" s="2690"/>
      <c r="E40" s="2691">
        <v>2.5</v>
      </c>
      <c r="F40" s="2692"/>
      <c r="G40" s="2693">
        <v>1.5</v>
      </c>
      <c r="H40" s="2694"/>
      <c r="I40" s="2705"/>
      <c r="J40" s="2706"/>
      <c r="K40" s="2706"/>
      <c r="L40" s="2707"/>
      <c r="M40" s="2708"/>
      <c r="N40" s="2709"/>
      <c r="O40" s="2716">
        <v>0</v>
      </c>
      <c r="P40" s="2717"/>
      <c r="Q40" s="2712"/>
      <c r="R40" s="2859"/>
      <c r="S40" s="360"/>
      <c r="T40" s="361"/>
      <c r="U40" s="2861">
        <v>0</v>
      </c>
      <c r="V40" s="2862"/>
      <c r="W40" s="2862"/>
      <c r="X40" s="2862"/>
      <c r="Y40" s="2863"/>
      <c r="Z40" s="2863"/>
      <c r="AA40" s="2863">
        <v>0</v>
      </c>
      <c r="AB40" s="2864"/>
      <c r="AC40" s="2712"/>
      <c r="AD40" s="2713"/>
      <c r="AE40" s="2713"/>
      <c r="AF40" s="2714"/>
      <c r="AG40" s="2680">
        <v>0</v>
      </c>
      <c r="AH40" s="2680"/>
      <c r="AI40" s="2681"/>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row>
    <row r="41" spans="1:71" s="167" customFormat="1" ht="14.1" customHeight="1" thickBot="1">
      <c r="A41" s="2676">
        <v>37.5</v>
      </c>
      <c r="B41" s="2677"/>
      <c r="C41" s="2677">
        <v>19</v>
      </c>
      <c r="D41" s="2682"/>
      <c r="E41" s="2683">
        <v>1.5</v>
      </c>
      <c r="F41" s="2684"/>
      <c r="G41" s="2685">
        <v>0.75</v>
      </c>
      <c r="H41" s="2686"/>
      <c r="I41" s="2696"/>
      <c r="J41" s="2697"/>
      <c r="K41" s="2697"/>
      <c r="L41" s="2698"/>
      <c r="M41" s="2710"/>
      <c r="N41" s="2711"/>
      <c r="O41" s="2703" t="str">
        <f>+IF(I41="","",(M41*100/$I$41))</f>
        <v/>
      </c>
      <c r="P41" s="2704"/>
      <c r="Q41" s="2696"/>
      <c r="R41" s="2860"/>
      <c r="S41" s="2703" t="str">
        <f>+IF(I41="","",Q41*100/$I$41)</f>
        <v/>
      </c>
      <c r="T41" s="2704"/>
      <c r="U41" s="2865"/>
      <c r="V41" s="2866"/>
      <c r="W41" s="2866"/>
      <c r="X41" s="2867"/>
      <c r="Y41" s="2631" t="str">
        <f>+IF(I41="","",(U41*100/$I$41))</f>
        <v/>
      </c>
      <c r="Z41" s="2631"/>
      <c r="AA41" s="2631" t="e">
        <f t="shared" ref="AA41" si="2">+Y41*100/$I$41</f>
        <v>#VALUE!</v>
      </c>
      <c r="AB41" s="2632"/>
      <c r="AC41" s="2696"/>
      <c r="AD41" s="2697"/>
      <c r="AE41" s="2697"/>
      <c r="AF41" s="2715"/>
      <c r="AG41" s="2671" t="str">
        <f>+IF(I41="","",(AC41*100/$I$41))</f>
        <v/>
      </c>
      <c r="AH41" s="2671"/>
      <c r="AI41" s="2672"/>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row>
    <row r="42" spans="1:71" s="167" customFormat="1" ht="13.5" customHeight="1" thickTop="1">
      <c r="A42" s="2701" t="s">
        <v>20</v>
      </c>
      <c r="B42" s="2702"/>
      <c r="C42" s="2702"/>
      <c r="D42" s="2702"/>
      <c r="E42" s="870"/>
      <c r="F42" s="2699"/>
      <c r="G42" s="2699"/>
      <c r="H42" s="2699"/>
      <c r="I42" s="2699"/>
      <c r="J42" s="2699"/>
      <c r="K42" s="2699"/>
      <c r="L42" s="2699"/>
      <c r="M42" s="2699"/>
      <c r="N42" s="2699"/>
      <c r="O42" s="2699"/>
      <c r="P42" s="2699"/>
      <c r="Q42" s="2699"/>
      <c r="R42" s="2699"/>
      <c r="S42" s="2699"/>
      <c r="T42" s="2699"/>
      <c r="U42" s="2699"/>
      <c r="V42" s="2699"/>
      <c r="W42" s="2699"/>
      <c r="X42" s="2699"/>
      <c r="Y42" s="2699"/>
      <c r="Z42" s="2699"/>
      <c r="AA42" s="2699"/>
      <c r="AB42" s="2699"/>
      <c r="AC42" s="2699"/>
      <c r="AD42" s="2699"/>
      <c r="AE42" s="2699"/>
      <c r="AF42" s="2699"/>
      <c r="AG42" s="2699"/>
      <c r="AH42" s="2699"/>
      <c r="AI42" s="2700"/>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c r="BJ42" s="166"/>
      <c r="BK42" s="166"/>
      <c r="BL42" s="166"/>
      <c r="BM42" s="166"/>
      <c r="BN42" s="166"/>
      <c r="BO42" s="166"/>
      <c r="BP42" s="166"/>
      <c r="BQ42" s="166"/>
      <c r="BR42" s="166"/>
      <c r="BS42" s="166"/>
    </row>
    <row r="43" spans="1:71" s="167" customFormat="1" ht="14.25" customHeight="1">
      <c r="A43" s="2503"/>
      <c r="B43" s="2504"/>
      <c r="C43" s="2504"/>
      <c r="D43" s="2504"/>
      <c r="E43" s="2504"/>
      <c r="F43" s="2504"/>
      <c r="G43" s="2504"/>
      <c r="H43" s="2504"/>
      <c r="I43" s="2504"/>
      <c r="J43" s="2504"/>
      <c r="K43" s="2504"/>
      <c r="L43" s="2504"/>
      <c r="M43" s="2504"/>
      <c r="N43" s="2504"/>
      <c r="O43" s="2504"/>
      <c r="P43" s="2504"/>
      <c r="Q43" s="2504"/>
      <c r="R43" s="2504"/>
      <c r="S43" s="2504"/>
      <c r="T43" s="2504"/>
      <c r="U43" s="2504"/>
      <c r="V43" s="2504"/>
      <c r="W43" s="2504"/>
      <c r="X43" s="2504"/>
      <c r="Y43" s="2504"/>
      <c r="Z43" s="2504"/>
      <c r="AA43" s="2504"/>
      <c r="AB43" s="2504"/>
      <c r="AC43" s="2504"/>
      <c r="AD43" s="2504"/>
      <c r="AE43" s="2504"/>
      <c r="AF43" s="2504"/>
      <c r="AG43" s="2504"/>
      <c r="AH43" s="2504"/>
      <c r="AI43" s="2505"/>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row>
    <row r="44" spans="1:71" s="167" customFormat="1" ht="14.25" customHeight="1">
      <c r="A44" s="2673"/>
      <c r="B44" s="2674"/>
      <c r="C44" s="2674"/>
      <c r="D44" s="2674"/>
      <c r="E44" s="2674"/>
      <c r="F44" s="2674"/>
      <c r="G44" s="2674"/>
      <c r="H44" s="2674"/>
      <c r="I44" s="2674"/>
      <c r="J44" s="2674"/>
      <c r="K44" s="2674"/>
      <c r="L44" s="2674"/>
      <c r="M44" s="2674"/>
      <c r="N44" s="2674"/>
      <c r="O44" s="2674"/>
      <c r="P44" s="2674"/>
      <c r="Q44" s="2674"/>
      <c r="R44" s="2674"/>
      <c r="S44" s="2674"/>
      <c r="T44" s="2674"/>
      <c r="U44" s="2674"/>
      <c r="V44" s="2674"/>
      <c r="W44" s="2674"/>
      <c r="X44" s="2674"/>
      <c r="Y44" s="2674"/>
      <c r="Z44" s="2674"/>
      <c r="AA44" s="2674"/>
      <c r="AB44" s="2674"/>
      <c r="AC44" s="2674"/>
      <c r="AD44" s="2674"/>
      <c r="AE44" s="2674"/>
      <c r="AF44" s="2674"/>
      <c r="AG44" s="2674"/>
      <c r="AH44" s="2674"/>
      <c r="AI44" s="2675"/>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c r="BJ44" s="166"/>
      <c r="BK44" s="166"/>
      <c r="BL44" s="166"/>
      <c r="BM44" s="166"/>
      <c r="BN44" s="166"/>
      <c r="BO44" s="166"/>
      <c r="BP44" s="166"/>
      <c r="BQ44" s="166"/>
      <c r="BR44" s="166"/>
      <c r="BS44" s="166"/>
    </row>
    <row r="45" spans="1:71" s="167" customFormat="1" ht="14.1" customHeight="1">
      <c r="A45" s="2822"/>
      <c r="B45" s="2823"/>
      <c r="C45" s="2823"/>
      <c r="D45" s="2823"/>
      <c r="E45" s="2823"/>
      <c r="F45" s="2823"/>
      <c r="G45" s="2824"/>
      <c r="H45" s="1741" t="s">
        <v>10</v>
      </c>
      <c r="I45" s="1742"/>
      <c r="J45" s="1742"/>
      <c r="K45" s="1742"/>
      <c r="L45" s="1742"/>
      <c r="M45" s="1742"/>
      <c r="N45" s="1742"/>
      <c r="O45" s="1742"/>
      <c r="P45" s="1743"/>
      <c r="Q45" s="1741" t="s">
        <v>22</v>
      </c>
      <c r="R45" s="1742"/>
      <c r="S45" s="1742"/>
      <c r="T45" s="1742"/>
      <c r="U45" s="1742"/>
      <c r="V45" s="1742"/>
      <c r="W45" s="1742"/>
      <c r="X45" s="1743"/>
      <c r="Y45" s="1741" t="s">
        <v>23</v>
      </c>
      <c r="Z45" s="1742"/>
      <c r="AA45" s="1742"/>
      <c r="AB45" s="1742"/>
      <c r="AC45" s="1742"/>
      <c r="AD45" s="1742"/>
      <c r="AE45" s="1742"/>
      <c r="AF45" s="1742"/>
      <c r="AG45" s="1742"/>
      <c r="AH45" s="1742"/>
      <c r="AI45" s="1743"/>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row>
    <row r="46" spans="1:71" s="167" customFormat="1" ht="38.1" customHeight="1">
      <c r="A46" s="2825" t="s">
        <v>13</v>
      </c>
      <c r="B46" s="1863"/>
      <c r="C46" s="1863"/>
      <c r="D46" s="1863"/>
      <c r="E46" s="1863"/>
      <c r="F46" s="1863"/>
      <c r="G46" s="2826"/>
      <c r="H46" s="2850"/>
      <c r="I46" s="2851"/>
      <c r="J46" s="2851"/>
      <c r="K46" s="2851"/>
      <c r="L46" s="2851"/>
      <c r="M46" s="2851"/>
      <c r="N46" s="2851"/>
      <c r="O46" s="2851"/>
      <c r="P46" s="2852"/>
      <c r="Q46" s="2850"/>
      <c r="R46" s="2851"/>
      <c r="S46" s="2851"/>
      <c r="T46" s="2851"/>
      <c r="U46" s="2851"/>
      <c r="V46" s="2851"/>
      <c r="W46" s="2851"/>
      <c r="X46" s="2852"/>
      <c r="Y46" s="2850"/>
      <c r="Z46" s="2851"/>
      <c r="AA46" s="2851"/>
      <c r="AB46" s="2851"/>
      <c r="AC46" s="2851"/>
      <c r="AD46" s="2851"/>
      <c r="AE46" s="2851"/>
      <c r="AF46" s="2851"/>
      <c r="AG46" s="2851"/>
      <c r="AH46" s="2851"/>
      <c r="AI46" s="2852"/>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row>
    <row r="47" spans="1:71" s="167" customFormat="1" ht="14.1" customHeight="1">
      <c r="A47" s="2825" t="s">
        <v>610</v>
      </c>
      <c r="B47" s="1863"/>
      <c r="C47" s="1863"/>
      <c r="D47" s="1863"/>
      <c r="E47" s="1863"/>
      <c r="F47" s="1863"/>
      <c r="G47" s="2826"/>
      <c r="H47" s="2853" t="s">
        <v>560</v>
      </c>
      <c r="I47" s="2854"/>
      <c r="J47" s="2854"/>
      <c r="K47" s="2854"/>
      <c r="L47" s="2854"/>
      <c r="M47" s="2854"/>
      <c r="N47" s="2854"/>
      <c r="O47" s="2854"/>
      <c r="P47" s="2855"/>
      <c r="Q47" s="2853" t="s">
        <v>560</v>
      </c>
      <c r="R47" s="2854"/>
      <c r="S47" s="2854"/>
      <c r="T47" s="2854"/>
      <c r="U47" s="2854"/>
      <c r="V47" s="2854"/>
      <c r="W47" s="2854"/>
      <c r="X47" s="2855"/>
      <c r="Y47" s="2853" t="s">
        <v>560</v>
      </c>
      <c r="Z47" s="2854"/>
      <c r="AA47" s="2854"/>
      <c r="AB47" s="2854"/>
      <c r="AC47" s="2854"/>
      <c r="AD47" s="2854"/>
      <c r="AE47" s="2854"/>
      <c r="AF47" s="2854"/>
      <c r="AG47" s="2854"/>
      <c r="AH47" s="2854"/>
      <c r="AI47" s="2855"/>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row>
    <row r="48" spans="1:71" s="167" customFormat="1" ht="14.1" customHeight="1" thickBot="1">
      <c r="A48" s="2819" t="s">
        <v>14</v>
      </c>
      <c r="B48" s="2820"/>
      <c r="C48" s="2820"/>
      <c r="D48" s="2820"/>
      <c r="E48" s="2820"/>
      <c r="F48" s="2820"/>
      <c r="G48" s="2821"/>
      <c r="H48" s="2847" t="str">
        <f>IF(H47="--","",VLOOKUP(H47,firmas!A2:B31,2,0))</f>
        <v/>
      </c>
      <c r="I48" s="2848"/>
      <c r="J48" s="2848"/>
      <c r="K48" s="2848"/>
      <c r="L48" s="2848"/>
      <c r="M48" s="2848"/>
      <c r="N48" s="2848"/>
      <c r="O48" s="2848"/>
      <c r="P48" s="2849"/>
      <c r="Q48" s="2847" t="str">
        <f>IF(Q47="--","",VLOOKUP(Q47,firmas!A33:B35,2,0))</f>
        <v/>
      </c>
      <c r="R48" s="2848"/>
      <c r="S48" s="2848"/>
      <c r="T48" s="2848"/>
      <c r="U48" s="2848"/>
      <c r="V48" s="2848"/>
      <c r="W48" s="2848"/>
      <c r="X48" s="2849"/>
      <c r="Y48" s="2847" t="str">
        <f>IF(Y47="--","",VLOOKUP(Y47,firmas!A37:B38,2))</f>
        <v/>
      </c>
      <c r="Z48" s="2848"/>
      <c r="AA48" s="2848"/>
      <c r="AB48" s="2848"/>
      <c r="AC48" s="2848"/>
      <c r="AD48" s="2848"/>
      <c r="AE48" s="2848"/>
      <c r="AF48" s="2848"/>
      <c r="AG48" s="2848"/>
      <c r="AH48" s="2848"/>
      <c r="AI48" s="2849"/>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row>
    <row r="49" spans="1:71" s="167" customFormat="1" ht="12" customHeight="1" thickTop="1" thickBot="1">
      <c r="A49" s="2678" t="s">
        <v>24</v>
      </c>
      <c r="B49" s="2679"/>
      <c r="C49" s="2679"/>
      <c r="D49" s="2679"/>
      <c r="E49" s="2679"/>
      <c r="F49" s="2679"/>
      <c r="G49" s="2679"/>
      <c r="H49" s="2679"/>
      <c r="I49" s="2679"/>
      <c r="J49" s="2679"/>
      <c r="K49" s="2679"/>
      <c r="L49" s="2679"/>
      <c r="M49" s="2679"/>
      <c r="N49" s="2679"/>
      <c r="O49" s="2679"/>
      <c r="P49" s="2679"/>
      <c r="Q49" s="2679"/>
      <c r="R49" s="2679"/>
      <c r="S49" s="2679"/>
      <c r="T49" s="2679"/>
      <c r="U49" s="2679"/>
      <c r="V49" s="2679"/>
      <c r="W49" s="2679"/>
      <c r="X49" s="2679"/>
      <c r="Y49" s="2679"/>
      <c r="Z49" s="2679"/>
      <c r="AA49" s="2679"/>
      <c r="AB49" s="2679"/>
      <c r="AC49" s="2679"/>
      <c r="AD49" s="2679"/>
      <c r="AE49" s="2679"/>
      <c r="AF49" s="2679"/>
      <c r="AG49" s="2679"/>
      <c r="AH49" s="2679"/>
      <c r="AI49" s="2679"/>
      <c r="AJ49" s="168"/>
      <c r="AK49" s="168"/>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row>
    <row r="50" spans="1:71" s="89" customFormat="1" ht="18" customHeight="1" thickTop="1">
      <c r="A50" s="2695" t="s">
        <v>25</v>
      </c>
      <c r="B50" s="2695"/>
      <c r="C50" s="2695"/>
      <c r="D50" s="2695"/>
      <c r="E50" s="2695"/>
      <c r="F50" s="2695"/>
      <c r="G50" s="2695"/>
      <c r="H50" s="2695"/>
      <c r="I50" s="2695"/>
      <c r="J50" s="2695"/>
      <c r="K50" s="2695"/>
      <c r="L50" s="2695"/>
      <c r="M50" s="2695"/>
      <c r="N50" s="2695"/>
      <c r="O50" s="2695"/>
      <c r="P50" s="2695"/>
      <c r="Q50" s="2695"/>
      <c r="R50" s="2695"/>
      <c r="S50" s="2695"/>
      <c r="T50" s="2695"/>
      <c r="U50" s="2695"/>
      <c r="V50" s="2695"/>
      <c r="W50" s="2695"/>
      <c r="X50" s="2695"/>
      <c r="Y50" s="2695"/>
      <c r="Z50" s="2695"/>
      <c r="AA50" s="2695"/>
      <c r="AB50" s="2695"/>
      <c r="AC50" s="2695"/>
      <c r="AD50" s="2695"/>
      <c r="AE50" s="2695"/>
      <c r="AF50" s="2695"/>
      <c r="AG50" s="2695"/>
      <c r="AH50" s="2695"/>
      <c r="AI50" s="2695"/>
    </row>
    <row r="51" spans="1:71" s="84" customFormat="1" ht="27.95" customHeight="1">
      <c r="A51" s="2670" t="s">
        <v>16</v>
      </c>
      <c r="B51" s="2670"/>
      <c r="C51" s="2670"/>
      <c r="D51" s="2670"/>
      <c r="E51" s="2670"/>
      <c r="F51" s="2670"/>
      <c r="G51" s="2670"/>
      <c r="H51" s="2670"/>
      <c r="I51" s="2670"/>
      <c r="J51" s="2670"/>
      <c r="K51" s="2670"/>
      <c r="L51" s="2670"/>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row>
    <row r="52" spans="1:71" s="84" customFormat="1" ht="30" customHeight="1">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6"/>
    </row>
    <row r="53" spans="1:71" s="91" customFormat="1" ht="18" customHeight="1">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6"/>
    </row>
    <row r="54" spans="1:71" s="84" customFormat="1" ht="18.75" customHeight="1">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6"/>
    </row>
    <row r="55" spans="1:71" s="84" customFormat="1" ht="30" customHeight="1">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6"/>
    </row>
    <row r="56" spans="1:71" s="167" customFormat="1" ht="13.5" customHeight="1">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row>
    <row r="57" spans="1:71" s="167" customFormat="1" ht="13.5" customHeight="1">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66"/>
      <c r="BR57" s="166"/>
      <c r="BS57" s="166"/>
    </row>
    <row r="58" spans="1:71" s="167" customFormat="1" ht="13.5" customHeight="1">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66"/>
      <c r="BR58" s="166"/>
      <c r="BS58" s="166"/>
    </row>
    <row r="59" spans="1:71" s="167" customFormat="1" ht="13.5" customHeight="1">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59"/>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row>
    <row r="60" spans="1:71" s="167" customFormat="1" ht="13.5" customHeight="1">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59"/>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row>
    <row r="61" spans="1:71" s="167" customFormat="1" ht="13.5" customHeight="1">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59"/>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row>
    <row r="62" spans="1:71" s="167" customFormat="1" ht="13.5" customHeight="1">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59"/>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row>
    <row r="63" spans="1:71" s="167" customFormat="1" ht="13.5" customHeight="1">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59"/>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row>
    <row r="64" spans="1:71" s="167" customFormat="1" ht="13.5" customHeight="1">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59"/>
      <c r="AJ64" s="166"/>
      <c r="AK64" s="166"/>
      <c r="AL64" s="166"/>
      <c r="AM64" s="166"/>
      <c r="AN64" s="166"/>
      <c r="AO64" s="166"/>
      <c r="AP64" s="166"/>
      <c r="AQ64" s="166"/>
      <c r="AR64" s="166"/>
      <c r="AS64" s="166"/>
      <c r="AT64" s="166"/>
      <c r="AU64" s="166"/>
      <c r="AV64" s="166"/>
      <c r="AW64" s="166"/>
      <c r="AX64" s="166"/>
      <c r="AY64" s="166"/>
      <c r="AZ64" s="166"/>
      <c r="BA64" s="166"/>
      <c r="BB64" s="166"/>
      <c r="BC64" s="166"/>
      <c r="BD64" s="166"/>
      <c r="BE64" s="166"/>
      <c r="BF64" s="166"/>
      <c r="BG64" s="166"/>
      <c r="BH64" s="166"/>
      <c r="BI64" s="166"/>
      <c r="BJ64" s="166"/>
      <c r="BK64" s="166"/>
      <c r="BL64" s="166"/>
      <c r="BM64" s="166"/>
      <c r="BN64" s="166"/>
      <c r="BO64" s="166"/>
      <c r="BP64" s="166"/>
      <c r="BQ64" s="166"/>
      <c r="BR64" s="166"/>
      <c r="BS64" s="166"/>
    </row>
    <row r="65" spans="1:71" s="167" customFormat="1" ht="13.5" customHeight="1">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59"/>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66"/>
      <c r="BR65" s="166"/>
      <c r="BS65" s="166"/>
    </row>
  </sheetData>
  <sheetProtection algorithmName="SHA-512" hashValue="BNCYIWUprmbfiFCSzzgWzxAtZcorm3p0MbX9V7sRNJ5/v2i1ZqNw8Xv6JDqmfYyVEhNEhityyHTCsJNarhXFEA==" saltValue="PNzWQpoyEAXpbuPSMyYA2A==" spinCount="100000" sheet="1" formatCells="0" formatColumns="0" formatRows="0"/>
  <mergeCells count="262">
    <mergeCell ref="A6:D6"/>
    <mergeCell ref="A7:D7"/>
    <mergeCell ref="A8:D8"/>
    <mergeCell ref="A9:D9"/>
    <mergeCell ref="E6:T6"/>
    <mergeCell ref="E7:I7"/>
    <mergeCell ref="E8:I8"/>
    <mergeCell ref="E9:T9"/>
    <mergeCell ref="N8:T8"/>
    <mergeCell ref="AC15:AF15"/>
    <mergeCell ref="AG15:AI15"/>
    <mergeCell ref="AG17:AI18"/>
    <mergeCell ref="I19:L20"/>
    <mergeCell ref="M19:P20"/>
    <mergeCell ref="AG14:AI14"/>
    <mergeCell ref="AB7:AI7"/>
    <mergeCell ref="AB8:AI8"/>
    <mergeCell ref="AB9:AI9"/>
    <mergeCell ref="Q19:T19"/>
    <mergeCell ref="U19:X20"/>
    <mergeCell ref="U17:X18"/>
    <mergeCell ref="AG19:AI20"/>
    <mergeCell ref="Q20:T20"/>
    <mergeCell ref="AG16:AI16"/>
    <mergeCell ref="Q16:AB16"/>
    <mergeCell ref="J8:M8"/>
    <mergeCell ref="E19:F20"/>
    <mergeCell ref="G19:H20"/>
    <mergeCell ref="A16:P16"/>
    <mergeCell ref="AC17:AF18"/>
    <mergeCell ref="Y19:AB20"/>
    <mergeCell ref="AC19:AF20"/>
    <mergeCell ref="A33:B33"/>
    <mergeCell ref="C33:D33"/>
    <mergeCell ref="U34:V34"/>
    <mergeCell ref="Y33:AB34"/>
    <mergeCell ref="U31:V31"/>
    <mergeCell ref="W31:X32"/>
    <mergeCell ref="G23:H24"/>
    <mergeCell ref="A23:B24"/>
    <mergeCell ref="AC31:AF32"/>
    <mergeCell ref="Q32:T32"/>
    <mergeCell ref="C30:D30"/>
    <mergeCell ref="E30:F30"/>
    <mergeCell ref="G30:H30"/>
    <mergeCell ref="AC25:AF26"/>
    <mergeCell ref="M25:P26"/>
    <mergeCell ref="I30:L30"/>
    <mergeCell ref="I29:L29"/>
    <mergeCell ref="M29:P30"/>
    <mergeCell ref="AJ27:AM27"/>
    <mergeCell ref="AC29:AF30"/>
    <mergeCell ref="Y48:AI48"/>
    <mergeCell ref="Q45:X45"/>
    <mergeCell ref="Q46:X46"/>
    <mergeCell ref="Q47:X47"/>
    <mergeCell ref="Q48:X48"/>
    <mergeCell ref="H45:P45"/>
    <mergeCell ref="H46:P46"/>
    <mergeCell ref="H47:P47"/>
    <mergeCell ref="H48:P48"/>
    <mergeCell ref="Y45:AI45"/>
    <mergeCell ref="Y46:AI46"/>
    <mergeCell ref="Y47:AI47"/>
    <mergeCell ref="U30:V30"/>
    <mergeCell ref="Q28:AB28"/>
    <mergeCell ref="O39:P39"/>
    <mergeCell ref="O41:P41"/>
    <mergeCell ref="Q40:R40"/>
    <mergeCell ref="Q41:R41"/>
    <mergeCell ref="Y39:AB39"/>
    <mergeCell ref="U40:X40"/>
    <mergeCell ref="Y40:AB40"/>
    <mergeCell ref="U41:X41"/>
    <mergeCell ref="A48:G48"/>
    <mergeCell ref="A45:G45"/>
    <mergeCell ref="A47:G47"/>
    <mergeCell ref="A46:G46"/>
    <mergeCell ref="AS31:AV31"/>
    <mergeCell ref="AG23:AI24"/>
    <mergeCell ref="Q24:T24"/>
    <mergeCell ref="Q23:T23"/>
    <mergeCell ref="U23:X24"/>
    <mergeCell ref="Y23:AB24"/>
    <mergeCell ref="AC23:AF24"/>
    <mergeCell ref="A25:B26"/>
    <mergeCell ref="C25:D26"/>
    <mergeCell ref="E25:F26"/>
    <mergeCell ref="G25:H26"/>
    <mergeCell ref="A29:B29"/>
    <mergeCell ref="C29:D29"/>
    <mergeCell ref="E29:F29"/>
    <mergeCell ref="G29:H29"/>
    <mergeCell ref="I23:L24"/>
    <mergeCell ref="M23:P24"/>
    <mergeCell ref="Q25:T25"/>
    <mergeCell ref="C23:D24"/>
    <mergeCell ref="E23:F24"/>
    <mergeCell ref="AG25:AI26"/>
    <mergeCell ref="AG31:AI32"/>
    <mergeCell ref="M21:P22"/>
    <mergeCell ref="A27:T27"/>
    <mergeCell ref="U27:AI27"/>
    <mergeCell ref="A15:B15"/>
    <mergeCell ref="C15:D15"/>
    <mergeCell ref="E15:F15"/>
    <mergeCell ref="G15:H15"/>
    <mergeCell ref="A17:B18"/>
    <mergeCell ref="C17:D18"/>
    <mergeCell ref="E17:F18"/>
    <mergeCell ref="G17:H18"/>
    <mergeCell ref="A19:B20"/>
    <mergeCell ref="A21:B22"/>
    <mergeCell ref="C21:D22"/>
    <mergeCell ref="E21:F22"/>
    <mergeCell ref="G21:H22"/>
    <mergeCell ref="C19:D20"/>
    <mergeCell ref="Y29:AB30"/>
    <mergeCell ref="W29:X30"/>
    <mergeCell ref="U29:V29"/>
    <mergeCell ref="I14:L15"/>
    <mergeCell ref="M14:P15"/>
    <mergeCell ref="H1:AI1"/>
    <mergeCell ref="H2:AI2"/>
    <mergeCell ref="H3:AI3"/>
    <mergeCell ref="H4:T4"/>
    <mergeCell ref="U4:AI4"/>
    <mergeCell ref="H5:AI5"/>
    <mergeCell ref="Y14:AB15"/>
    <mergeCell ref="AC14:AF14"/>
    <mergeCell ref="Q21:T21"/>
    <mergeCell ref="U21:X22"/>
    <mergeCell ref="Y21:AB22"/>
    <mergeCell ref="AC21:AF22"/>
    <mergeCell ref="AG21:AI22"/>
    <mergeCell ref="Q22:T22"/>
    <mergeCell ref="AC16:AF16"/>
    <mergeCell ref="I17:L18"/>
    <mergeCell ref="M17:P18"/>
    <mergeCell ref="Q17:T17"/>
    <mergeCell ref="Q18:T18"/>
    <mergeCell ref="I21:L22"/>
    <mergeCell ref="Y17:AB18"/>
    <mergeCell ref="E14:H14"/>
    <mergeCell ref="Q14:T15"/>
    <mergeCell ref="U14:X15"/>
    <mergeCell ref="A51:AI51"/>
    <mergeCell ref="AG41:AI41"/>
    <mergeCell ref="A44:AI44"/>
    <mergeCell ref="A41:B41"/>
    <mergeCell ref="A49:AI49"/>
    <mergeCell ref="AG40:AI40"/>
    <mergeCell ref="C41:D41"/>
    <mergeCell ref="E41:F41"/>
    <mergeCell ref="G41:H41"/>
    <mergeCell ref="A40:B40"/>
    <mergeCell ref="C40:D40"/>
    <mergeCell ref="E40:F40"/>
    <mergeCell ref="G40:H40"/>
    <mergeCell ref="A50:AI50"/>
    <mergeCell ref="I41:L41"/>
    <mergeCell ref="F42:AI42"/>
    <mergeCell ref="A42:D42"/>
    <mergeCell ref="S41:T41"/>
    <mergeCell ref="I40:L40"/>
    <mergeCell ref="M40:N40"/>
    <mergeCell ref="M41:N41"/>
    <mergeCell ref="AC40:AF40"/>
    <mergeCell ref="AC41:AF41"/>
    <mergeCell ref="O40:P40"/>
    <mergeCell ref="Y41:AB41"/>
    <mergeCell ref="I38:L39"/>
    <mergeCell ref="U39:X39"/>
    <mergeCell ref="A38:D38"/>
    <mergeCell ref="E38:H38"/>
    <mergeCell ref="U35:X35"/>
    <mergeCell ref="A39:B39"/>
    <mergeCell ref="C39:D39"/>
    <mergeCell ref="E39:F39"/>
    <mergeCell ref="G39:H39"/>
    <mergeCell ref="A35:B35"/>
    <mergeCell ref="C35:D35"/>
    <mergeCell ref="E35:F35"/>
    <mergeCell ref="U36:AI36"/>
    <mergeCell ref="AC35:AF35"/>
    <mergeCell ref="A37:AI37"/>
    <mergeCell ref="AG35:AI35"/>
    <mergeCell ref="Q39:S39"/>
    <mergeCell ref="M38:AI38"/>
    <mergeCell ref="M39:N39"/>
    <mergeCell ref="AG39:AI39"/>
    <mergeCell ref="AC39:AF39"/>
    <mergeCell ref="AJ36:AM36"/>
    <mergeCell ref="G35:H35"/>
    <mergeCell ref="I35:L35"/>
    <mergeCell ref="M35:P35"/>
    <mergeCell ref="Q35:T35"/>
    <mergeCell ref="A36:H36"/>
    <mergeCell ref="Y35:AB35"/>
    <mergeCell ref="A34:B34"/>
    <mergeCell ref="C34:D34"/>
    <mergeCell ref="I34:L34"/>
    <mergeCell ref="A14:D14"/>
    <mergeCell ref="B11:E12"/>
    <mergeCell ref="U25:X26"/>
    <mergeCell ref="Q26:T26"/>
    <mergeCell ref="AC33:AF34"/>
    <mergeCell ref="AG33:AI34"/>
    <mergeCell ref="U33:V33"/>
    <mergeCell ref="W33:X34"/>
    <mergeCell ref="A31:B31"/>
    <mergeCell ref="C31:D31"/>
    <mergeCell ref="E31:F31"/>
    <mergeCell ref="G31:H31"/>
    <mergeCell ref="I31:L31"/>
    <mergeCell ref="M31:P32"/>
    <mergeCell ref="A32:B32"/>
    <mergeCell ref="C32:D32"/>
    <mergeCell ref="E32:F32"/>
    <mergeCell ref="G32:H32"/>
    <mergeCell ref="I32:L32"/>
    <mergeCell ref="AG29:AI30"/>
    <mergeCell ref="A30:B30"/>
    <mergeCell ref="Y31:AB32"/>
    <mergeCell ref="U32:V32"/>
    <mergeCell ref="Y25:AB26"/>
    <mergeCell ref="Q29:T29"/>
    <mergeCell ref="Q30:T30"/>
    <mergeCell ref="I25:L26"/>
    <mergeCell ref="E33:F33"/>
    <mergeCell ref="G33:H33"/>
    <mergeCell ref="I33:L33"/>
    <mergeCell ref="M33:P34"/>
    <mergeCell ref="Q33:T33"/>
    <mergeCell ref="Q34:T34"/>
    <mergeCell ref="E34:F34"/>
    <mergeCell ref="G34:H34"/>
    <mergeCell ref="Q31:T31"/>
    <mergeCell ref="A43:AI43"/>
    <mergeCell ref="BQ2:BR2"/>
    <mergeCell ref="BQ3:BR3"/>
    <mergeCell ref="F11:I12"/>
    <mergeCell ref="O11:T12"/>
    <mergeCell ref="AC11:AH12"/>
    <mergeCell ref="V11:AB12"/>
    <mergeCell ref="AM2:AP3"/>
    <mergeCell ref="AS2:AT2"/>
    <mergeCell ref="AS3:AT3"/>
    <mergeCell ref="AV2:AY3"/>
    <mergeCell ref="BD2:BE2"/>
    <mergeCell ref="BD3:BE3"/>
    <mergeCell ref="A1:G5"/>
    <mergeCell ref="J7:M7"/>
    <mergeCell ref="N7:T7"/>
    <mergeCell ref="AB6:AI6"/>
    <mergeCell ref="K11:N12"/>
    <mergeCell ref="BG2:BL3"/>
    <mergeCell ref="U6:AA6"/>
    <mergeCell ref="A28:P28"/>
    <mergeCell ref="AC28:AF28"/>
    <mergeCell ref="AG28:AI28"/>
    <mergeCell ref="U8:AA8"/>
  </mergeCells>
  <dataValidations count="6">
    <dataValidation type="list" allowBlank="1" showInputMessage="1" showErrorMessage="1" sqref="F11:I12">
      <formula1>$AQ$2:$AQ$3</formula1>
    </dataValidation>
    <dataValidation type="list" allowBlank="1" showInputMessage="1" showErrorMessage="1" sqref="O11:T12">
      <formula1>$AZ$2:$AZ$3</formula1>
    </dataValidation>
    <dataValidation type="list" allowBlank="1" showInputMessage="1" showErrorMessage="1" sqref="AC11:AH12">
      <formula1>$BM$2:$BM$4</formula1>
    </dataValidation>
    <dataValidation type="list" allowBlank="1" showInputMessage="1" showErrorMessage="1" sqref="Y47:AI47">
      <formula1>aprobonombres</formula1>
    </dataValidation>
    <dataValidation type="list" allowBlank="1" showInputMessage="1" showErrorMessage="1" sqref="Q47:X47">
      <formula1>revisonombres</formula1>
    </dataValidation>
    <dataValidation type="list" allowBlank="1" showInputMessage="1" showErrorMessage="1" sqref="H47:P47">
      <formula1>Elaboronombres</formula1>
    </dataValidation>
  </dataValidation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www.umv.gov.co111311&amp;C&amp;6GLAB-FM-018
Página 1 de 1</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B78"/>
  <sheetViews>
    <sheetView showGridLines="0" view="pageBreakPreview" zoomScaleSheetLayoutView="100" zoomScalePageLayoutView="70" workbookViewId="0">
      <selection activeCell="E17" sqref="E17:X17"/>
    </sheetView>
  </sheetViews>
  <sheetFormatPr baseColWidth="10" defaultColWidth="9.140625" defaultRowHeight="12.75"/>
  <cols>
    <col min="1" max="1" width="11.7109375" style="174" customWidth="1"/>
    <col min="2" max="2" width="10.140625" style="174" customWidth="1"/>
    <col min="3" max="3" width="5.140625" style="174" customWidth="1"/>
    <col min="4" max="4" width="9.7109375" style="174" customWidth="1"/>
    <col min="5" max="5" width="10.28515625" style="174" customWidth="1"/>
    <col min="6" max="6" width="9.42578125" style="174" customWidth="1"/>
    <col min="7" max="7" width="16.42578125" style="174" customWidth="1"/>
    <col min="8" max="8" width="12.140625" style="174" customWidth="1"/>
    <col min="9" max="9" width="7.5703125" style="174" customWidth="1"/>
    <col min="10" max="10" width="5.140625" style="174" customWidth="1"/>
    <col min="11" max="11" width="9.140625" style="174" customWidth="1"/>
    <col min="12" max="12" width="20.42578125" style="174" customWidth="1"/>
    <col min="13" max="13" width="25.7109375" style="174" customWidth="1"/>
    <col min="14" max="14" width="11.28515625" style="174" customWidth="1"/>
    <col min="15" max="15" width="19.85546875" style="174" customWidth="1"/>
    <col min="16" max="16" width="27.7109375" style="174" customWidth="1"/>
    <col min="17" max="17" width="10.28515625" style="174" customWidth="1"/>
    <col min="18" max="254" width="9.140625" style="174"/>
    <col min="255" max="256" width="7.7109375" style="174" customWidth="1"/>
    <col min="257" max="257" width="7.28515625" style="174" customWidth="1"/>
    <col min="258" max="258" width="9.140625" style="174" customWidth="1"/>
    <col min="259" max="259" width="7" style="174" customWidth="1"/>
    <col min="260" max="260" width="7.85546875" style="174" customWidth="1"/>
    <col min="261" max="261" width="9.85546875" style="174" customWidth="1"/>
    <col min="262" max="262" width="10.140625" style="174" customWidth="1"/>
    <col min="263" max="263" width="9" style="174" customWidth="1"/>
    <col min="264" max="264" width="9.42578125" style="174" customWidth="1"/>
    <col min="265" max="265" width="8.5703125" style="174" customWidth="1"/>
    <col min="266" max="266" width="6.42578125" style="174" customWidth="1"/>
    <col min="267" max="267" width="9.140625" style="174" customWidth="1"/>
    <col min="268" max="268" width="22.28515625" style="174" customWidth="1"/>
    <col min="269" max="269" width="25.7109375" style="174" customWidth="1"/>
    <col min="270" max="270" width="11.28515625" style="174" customWidth="1"/>
    <col min="271" max="271" width="19.85546875" style="174" customWidth="1"/>
    <col min="272" max="272" width="27.7109375" style="174" customWidth="1"/>
    <col min="273" max="273" width="10.28515625" style="174" customWidth="1"/>
    <col min="274" max="510" width="9.140625" style="174"/>
    <col min="511" max="512" width="7.7109375" style="174" customWidth="1"/>
    <col min="513" max="513" width="7.28515625" style="174" customWidth="1"/>
    <col min="514" max="514" width="9.140625" style="174" customWidth="1"/>
    <col min="515" max="515" width="7" style="174" customWidth="1"/>
    <col min="516" max="516" width="7.85546875" style="174" customWidth="1"/>
    <col min="517" max="517" width="9.85546875" style="174" customWidth="1"/>
    <col min="518" max="518" width="10.140625" style="174" customWidth="1"/>
    <col min="519" max="519" width="9" style="174" customWidth="1"/>
    <col min="520" max="520" width="9.42578125" style="174" customWidth="1"/>
    <col min="521" max="521" width="8.5703125" style="174" customWidth="1"/>
    <col min="522" max="522" width="6.42578125" style="174" customWidth="1"/>
    <col min="523" max="523" width="9.140625" style="174" customWidth="1"/>
    <col min="524" max="524" width="22.28515625" style="174" customWidth="1"/>
    <col min="525" max="525" width="25.7109375" style="174" customWidth="1"/>
    <col min="526" max="526" width="11.28515625" style="174" customWidth="1"/>
    <col min="527" max="527" width="19.85546875" style="174" customWidth="1"/>
    <col min="528" max="528" width="27.7109375" style="174" customWidth="1"/>
    <col min="529" max="529" width="10.28515625" style="174" customWidth="1"/>
    <col min="530" max="766" width="9.140625" style="174"/>
    <col min="767" max="768" width="7.7109375" style="174" customWidth="1"/>
    <col min="769" max="769" width="7.28515625" style="174" customWidth="1"/>
    <col min="770" max="770" width="9.140625" style="174" customWidth="1"/>
    <col min="771" max="771" width="7" style="174" customWidth="1"/>
    <col min="772" max="772" width="7.85546875" style="174" customWidth="1"/>
    <col min="773" max="773" width="9.85546875" style="174" customWidth="1"/>
    <col min="774" max="774" width="10.140625" style="174" customWidth="1"/>
    <col min="775" max="775" width="9" style="174" customWidth="1"/>
    <col min="776" max="776" width="9.42578125" style="174" customWidth="1"/>
    <col min="777" max="777" width="8.5703125" style="174" customWidth="1"/>
    <col min="778" max="778" width="6.42578125" style="174" customWidth="1"/>
    <col min="779" max="779" width="9.140625" style="174" customWidth="1"/>
    <col min="780" max="780" width="22.28515625" style="174" customWidth="1"/>
    <col min="781" max="781" width="25.7109375" style="174" customWidth="1"/>
    <col min="782" max="782" width="11.28515625" style="174" customWidth="1"/>
    <col min="783" max="783" width="19.85546875" style="174" customWidth="1"/>
    <col min="784" max="784" width="27.7109375" style="174" customWidth="1"/>
    <col min="785" max="785" width="10.28515625" style="174" customWidth="1"/>
    <col min="786" max="1022" width="9.140625" style="174"/>
    <col min="1023" max="1024" width="7.7109375" style="174" customWidth="1"/>
    <col min="1025" max="1025" width="7.28515625" style="174" customWidth="1"/>
    <col min="1026" max="1026" width="9.140625" style="174" customWidth="1"/>
    <col min="1027" max="1027" width="7" style="174" customWidth="1"/>
    <col min="1028" max="1028" width="7.85546875" style="174" customWidth="1"/>
    <col min="1029" max="1029" width="9.85546875" style="174" customWidth="1"/>
    <col min="1030" max="1030" width="10.140625" style="174" customWidth="1"/>
    <col min="1031" max="1031" width="9" style="174" customWidth="1"/>
    <col min="1032" max="1032" width="9.42578125" style="174" customWidth="1"/>
    <col min="1033" max="1033" width="8.5703125" style="174" customWidth="1"/>
    <col min="1034" max="1034" width="6.42578125" style="174" customWidth="1"/>
    <col min="1035" max="1035" width="9.140625" style="174" customWidth="1"/>
    <col min="1036" max="1036" width="22.28515625" style="174" customWidth="1"/>
    <col min="1037" max="1037" width="25.7109375" style="174" customWidth="1"/>
    <col min="1038" max="1038" width="11.28515625" style="174" customWidth="1"/>
    <col min="1039" max="1039" width="19.85546875" style="174" customWidth="1"/>
    <col min="1040" max="1040" width="27.7109375" style="174" customWidth="1"/>
    <col min="1041" max="1041" width="10.28515625" style="174" customWidth="1"/>
    <col min="1042" max="1278" width="9.140625" style="174"/>
    <col min="1279" max="1280" width="7.7109375" style="174" customWidth="1"/>
    <col min="1281" max="1281" width="7.28515625" style="174" customWidth="1"/>
    <col min="1282" max="1282" width="9.140625" style="174" customWidth="1"/>
    <col min="1283" max="1283" width="7" style="174" customWidth="1"/>
    <col min="1284" max="1284" width="7.85546875" style="174" customWidth="1"/>
    <col min="1285" max="1285" width="9.85546875" style="174" customWidth="1"/>
    <col min="1286" max="1286" width="10.140625" style="174" customWidth="1"/>
    <col min="1287" max="1287" width="9" style="174" customWidth="1"/>
    <col min="1288" max="1288" width="9.42578125" style="174" customWidth="1"/>
    <col min="1289" max="1289" width="8.5703125" style="174" customWidth="1"/>
    <col min="1290" max="1290" width="6.42578125" style="174" customWidth="1"/>
    <col min="1291" max="1291" width="9.140625" style="174" customWidth="1"/>
    <col min="1292" max="1292" width="22.28515625" style="174" customWidth="1"/>
    <col min="1293" max="1293" width="25.7109375" style="174" customWidth="1"/>
    <col min="1294" max="1294" width="11.28515625" style="174" customWidth="1"/>
    <col min="1295" max="1295" width="19.85546875" style="174" customWidth="1"/>
    <col min="1296" max="1296" width="27.7109375" style="174" customWidth="1"/>
    <col min="1297" max="1297" width="10.28515625" style="174" customWidth="1"/>
    <col min="1298" max="1534" width="9.140625" style="174"/>
    <col min="1535" max="1536" width="7.7109375" style="174" customWidth="1"/>
    <col min="1537" max="1537" width="7.28515625" style="174" customWidth="1"/>
    <col min="1538" max="1538" width="9.140625" style="174" customWidth="1"/>
    <col min="1539" max="1539" width="7" style="174" customWidth="1"/>
    <col min="1540" max="1540" width="7.85546875" style="174" customWidth="1"/>
    <col min="1541" max="1541" width="9.85546875" style="174" customWidth="1"/>
    <col min="1542" max="1542" width="10.140625" style="174" customWidth="1"/>
    <col min="1543" max="1543" width="9" style="174" customWidth="1"/>
    <col min="1544" max="1544" width="9.42578125" style="174" customWidth="1"/>
    <col min="1545" max="1545" width="8.5703125" style="174" customWidth="1"/>
    <col min="1546" max="1546" width="6.42578125" style="174" customWidth="1"/>
    <col min="1547" max="1547" width="9.140625" style="174" customWidth="1"/>
    <col min="1548" max="1548" width="22.28515625" style="174" customWidth="1"/>
    <col min="1549" max="1549" width="25.7109375" style="174" customWidth="1"/>
    <col min="1550" max="1550" width="11.28515625" style="174" customWidth="1"/>
    <col min="1551" max="1551" width="19.85546875" style="174" customWidth="1"/>
    <col min="1552" max="1552" width="27.7109375" style="174" customWidth="1"/>
    <col min="1553" max="1553" width="10.28515625" style="174" customWidth="1"/>
    <col min="1554" max="1790" width="9.140625" style="174"/>
    <col min="1791" max="1792" width="7.7109375" style="174" customWidth="1"/>
    <col min="1793" max="1793" width="7.28515625" style="174" customWidth="1"/>
    <col min="1794" max="1794" width="9.140625" style="174" customWidth="1"/>
    <col min="1795" max="1795" width="7" style="174" customWidth="1"/>
    <col min="1796" max="1796" width="7.85546875" style="174" customWidth="1"/>
    <col min="1797" max="1797" width="9.85546875" style="174" customWidth="1"/>
    <col min="1798" max="1798" width="10.140625" style="174" customWidth="1"/>
    <col min="1799" max="1799" width="9" style="174" customWidth="1"/>
    <col min="1800" max="1800" width="9.42578125" style="174" customWidth="1"/>
    <col min="1801" max="1801" width="8.5703125" style="174" customWidth="1"/>
    <col min="1802" max="1802" width="6.42578125" style="174" customWidth="1"/>
    <col min="1803" max="1803" width="9.140625" style="174" customWidth="1"/>
    <col min="1804" max="1804" width="22.28515625" style="174" customWidth="1"/>
    <col min="1805" max="1805" width="25.7109375" style="174" customWidth="1"/>
    <col min="1806" max="1806" width="11.28515625" style="174" customWidth="1"/>
    <col min="1807" max="1807" width="19.85546875" style="174" customWidth="1"/>
    <col min="1808" max="1808" width="27.7109375" style="174" customWidth="1"/>
    <col min="1809" max="1809" width="10.28515625" style="174" customWidth="1"/>
    <col min="1810" max="2046" width="9.140625" style="174"/>
    <col min="2047" max="2048" width="7.7109375" style="174" customWidth="1"/>
    <col min="2049" max="2049" width="7.28515625" style="174" customWidth="1"/>
    <col min="2050" max="2050" width="9.140625" style="174" customWidth="1"/>
    <col min="2051" max="2051" width="7" style="174" customWidth="1"/>
    <col min="2052" max="2052" width="7.85546875" style="174" customWidth="1"/>
    <col min="2053" max="2053" width="9.85546875" style="174" customWidth="1"/>
    <col min="2054" max="2054" width="10.140625" style="174" customWidth="1"/>
    <col min="2055" max="2055" width="9" style="174" customWidth="1"/>
    <col min="2056" max="2056" width="9.42578125" style="174" customWidth="1"/>
    <col min="2057" max="2057" width="8.5703125" style="174" customWidth="1"/>
    <col min="2058" max="2058" width="6.42578125" style="174" customWidth="1"/>
    <col min="2059" max="2059" width="9.140625" style="174" customWidth="1"/>
    <col min="2060" max="2060" width="22.28515625" style="174" customWidth="1"/>
    <col min="2061" max="2061" width="25.7109375" style="174" customWidth="1"/>
    <col min="2062" max="2062" width="11.28515625" style="174" customWidth="1"/>
    <col min="2063" max="2063" width="19.85546875" style="174" customWidth="1"/>
    <col min="2064" max="2064" width="27.7109375" style="174" customWidth="1"/>
    <col min="2065" max="2065" width="10.28515625" style="174" customWidth="1"/>
    <col min="2066" max="2302" width="9.140625" style="174"/>
    <col min="2303" max="2304" width="7.7109375" style="174" customWidth="1"/>
    <col min="2305" max="2305" width="7.28515625" style="174" customWidth="1"/>
    <col min="2306" max="2306" width="9.140625" style="174" customWidth="1"/>
    <col min="2307" max="2307" width="7" style="174" customWidth="1"/>
    <col min="2308" max="2308" width="7.85546875" style="174" customWidth="1"/>
    <col min="2309" max="2309" width="9.85546875" style="174" customWidth="1"/>
    <col min="2310" max="2310" width="10.140625" style="174" customWidth="1"/>
    <col min="2311" max="2311" width="9" style="174" customWidth="1"/>
    <col min="2312" max="2312" width="9.42578125" style="174" customWidth="1"/>
    <col min="2313" max="2313" width="8.5703125" style="174" customWidth="1"/>
    <col min="2314" max="2314" width="6.42578125" style="174" customWidth="1"/>
    <col min="2315" max="2315" width="9.140625" style="174" customWidth="1"/>
    <col min="2316" max="2316" width="22.28515625" style="174" customWidth="1"/>
    <col min="2317" max="2317" width="25.7109375" style="174" customWidth="1"/>
    <col min="2318" max="2318" width="11.28515625" style="174" customWidth="1"/>
    <col min="2319" max="2319" width="19.85546875" style="174" customWidth="1"/>
    <col min="2320" max="2320" width="27.7109375" style="174" customWidth="1"/>
    <col min="2321" max="2321" width="10.28515625" style="174" customWidth="1"/>
    <col min="2322" max="2558" width="9.140625" style="174"/>
    <col min="2559" max="2560" width="7.7109375" style="174" customWidth="1"/>
    <col min="2561" max="2561" width="7.28515625" style="174" customWidth="1"/>
    <col min="2562" max="2562" width="9.140625" style="174" customWidth="1"/>
    <col min="2563" max="2563" width="7" style="174" customWidth="1"/>
    <col min="2564" max="2564" width="7.85546875" style="174" customWidth="1"/>
    <col min="2565" max="2565" width="9.85546875" style="174" customWidth="1"/>
    <col min="2566" max="2566" width="10.140625" style="174" customWidth="1"/>
    <col min="2567" max="2567" width="9" style="174" customWidth="1"/>
    <col min="2568" max="2568" width="9.42578125" style="174" customWidth="1"/>
    <col min="2569" max="2569" width="8.5703125" style="174" customWidth="1"/>
    <col min="2570" max="2570" width="6.42578125" style="174" customWidth="1"/>
    <col min="2571" max="2571" width="9.140625" style="174" customWidth="1"/>
    <col min="2572" max="2572" width="22.28515625" style="174" customWidth="1"/>
    <col min="2573" max="2573" width="25.7109375" style="174" customWidth="1"/>
    <col min="2574" max="2574" width="11.28515625" style="174" customWidth="1"/>
    <col min="2575" max="2575" width="19.85546875" style="174" customWidth="1"/>
    <col min="2576" max="2576" width="27.7109375" style="174" customWidth="1"/>
    <col min="2577" max="2577" width="10.28515625" style="174" customWidth="1"/>
    <col min="2578" max="2814" width="9.140625" style="174"/>
    <col min="2815" max="2816" width="7.7109375" style="174" customWidth="1"/>
    <col min="2817" max="2817" width="7.28515625" style="174" customWidth="1"/>
    <col min="2818" max="2818" width="9.140625" style="174" customWidth="1"/>
    <col min="2819" max="2819" width="7" style="174" customWidth="1"/>
    <col min="2820" max="2820" width="7.85546875" style="174" customWidth="1"/>
    <col min="2821" max="2821" width="9.85546875" style="174" customWidth="1"/>
    <col min="2822" max="2822" width="10.140625" style="174" customWidth="1"/>
    <col min="2823" max="2823" width="9" style="174" customWidth="1"/>
    <col min="2824" max="2824" width="9.42578125" style="174" customWidth="1"/>
    <col min="2825" max="2825" width="8.5703125" style="174" customWidth="1"/>
    <col min="2826" max="2826" width="6.42578125" style="174" customWidth="1"/>
    <col min="2827" max="2827" width="9.140625" style="174" customWidth="1"/>
    <col min="2828" max="2828" width="22.28515625" style="174" customWidth="1"/>
    <col min="2829" max="2829" width="25.7109375" style="174" customWidth="1"/>
    <col min="2830" max="2830" width="11.28515625" style="174" customWidth="1"/>
    <col min="2831" max="2831" width="19.85546875" style="174" customWidth="1"/>
    <col min="2832" max="2832" width="27.7109375" style="174" customWidth="1"/>
    <col min="2833" max="2833" width="10.28515625" style="174" customWidth="1"/>
    <col min="2834" max="3070" width="9.140625" style="174"/>
    <col min="3071" max="3072" width="7.7109375" style="174" customWidth="1"/>
    <col min="3073" max="3073" width="7.28515625" style="174" customWidth="1"/>
    <col min="3074" max="3074" width="9.140625" style="174" customWidth="1"/>
    <col min="3075" max="3075" width="7" style="174" customWidth="1"/>
    <col min="3076" max="3076" width="7.85546875" style="174" customWidth="1"/>
    <col min="3077" max="3077" width="9.85546875" style="174" customWidth="1"/>
    <col min="3078" max="3078" width="10.140625" style="174" customWidth="1"/>
    <col min="3079" max="3079" width="9" style="174" customWidth="1"/>
    <col min="3080" max="3080" width="9.42578125" style="174" customWidth="1"/>
    <col min="3081" max="3081" width="8.5703125" style="174" customWidth="1"/>
    <col min="3082" max="3082" width="6.42578125" style="174" customWidth="1"/>
    <col min="3083" max="3083" width="9.140625" style="174" customWidth="1"/>
    <col min="3084" max="3084" width="22.28515625" style="174" customWidth="1"/>
    <col min="3085" max="3085" width="25.7109375" style="174" customWidth="1"/>
    <col min="3086" max="3086" width="11.28515625" style="174" customWidth="1"/>
    <col min="3087" max="3087" width="19.85546875" style="174" customWidth="1"/>
    <col min="3088" max="3088" width="27.7109375" style="174" customWidth="1"/>
    <col min="3089" max="3089" width="10.28515625" style="174" customWidth="1"/>
    <col min="3090" max="3326" width="9.140625" style="174"/>
    <col min="3327" max="3328" width="7.7109375" style="174" customWidth="1"/>
    <col min="3329" max="3329" width="7.28515625" style="174" customWidth="1"/>
    <col min="3330" max="3330" width="9.140625" style="174" customWidth="1"/>
    <col min="3331" max="3331" width="7" style="174" customWidth="1"/>
    <col min="3332" max="3332" width="7.85546875" style="174" customWidth="1"/>
    <col min="3333" max="3333" width="9.85546875" style="174" customWidth="1"/>
    <col min="3334" max="3334" width="10.140625" style="174" customWidth="1"/>
    <col min="3335" max="3335" width="9" style="174" customWidth="1"/>
    <col min="3336" max="3336" width="9.42578125" style="174" customWidth="1"/>
    <col min="3337" max="3337" width="8.5703125" style="174" customWidth="1"/>
    <col min="3338" max="3338" width="6.42578125" style="174" customWidth="1"/>
    <col min="3339" max="3339" width="9.140625" style="174" customWidth="1"/>
    <col min="3340" max="3340" width="22.28515625" style="174" customWidth="1"/>
    <col min="3341" max="3341" width="25.7109375" style="174" customWidth="1"/>
    <col min="3342" max="3342" width="11.28515625" style="174" customWidth="1"/>
    <col min="3343" max="3343" width="19.85546875" style="174" customWidth="1"/>
    <col min="3344" max="3344" width="27.7109375" style="174" customWidth="1"/>
    <col min="3345" max="3345" width="10.28515625" style="174" customWidth="1"/>
    <col min="3346" max="3582" width="9.140625" style="174"/>
    <col min="3583" max="3584" width="7.7109375" style="174" customWidth="1"/>
    <col min="3585" max="3585" width="7.28515625" style="174" customWidth="1"/>
    <col min="3586" max="3586" width="9.140625" style="174" customWidth="1"/>
    <col min="3587" max="3587" width="7" style="174" customWidth="1"/>
    <col min="3588" max="3588" width="7.85546875" style="174" customWidth="1"/>
    <col min="3589" max="3589" width="9.85546875" style="174" customWidth="1"/>
    <col min="3590" max="3590" width="10.140625" style="174" customWidth="1"/>
    <col min="3591" max="3591" width="9" style="174" customWidth="1"/>
    <col min="3592" max="3592" width="9.42578125" style="174" customWidth="1"/>
    <col min="3593" max="3593" width="8.5703125" style="174" customWidth="1"/>
    <col min="3594" max="3594" width="6.42578125" style="174" customWidth="1"/>
    <col min="3595" max="3595" width="9.140625" style="174" customWidth="1"/>
    <col min="3596" max="3596" width="22.28515625" style="174" customWidth="1"/>
    <col min="3597" max="3597" width="25.7109375" style="174" customWidth="1"/>
    <col min="3598" max="3598" width="11.28515625" style="174" customWidth="1"/>
    <col min="3599" max="3599" width="19.85546875" style="174" customWidth="1"/>
    <col min="3600" max="3600" width="27.7109375" style="174" customWidth="1"/>
    <col min="3601" max="3601" width="10.28515625" style="174" customWidth="1"/>
    <col min="3602" max="3838" width="9.140625" style="174"/>
    <col min="3839" max="3840" width="7.7109375" style="174" customWidth="1"/>
    <col min="3841" max="3841" width="7.28515625" style="174" customWidth="1"/>
    <col min="3842" max="3842" width="9.140625" style="174" customWidth="1"/>
    <col min="3843" max="3843" width="7" style="174" customWidth="1"/>
    <col min="3844" max="3844" width="7.85546875" style="174" customWidth="1"/>
    <col min="3845" max="3845" width="9.85546875" style="174" customWidth="1"/>
    <col min="3846" max="3846" width="10.140625" style="174" customWidth="1"/>
    <col min="3847" max="3847" width="9" style="174" customWidth="1"/>
    <col min="3848" max="3848" width="9.42578125" style="174" customWidth="1"/>
    <col min="3849" max="3849" width="8.5703125" style="174" customWidth="1"/>
    <col min="3850" max="3850" width="6.42578125" style="174" customWidth="1"/>
    <col min="3851" max="3851" width="9.140625" style="174" customWidth="1"/>
    <col min="3852" max="3852" width="22.28515625" style="174" customWidth="1"/>
    <col min="3853" max="3853" width="25.7109375" style="174" customWidth="1"/>
    <col min="3854" max="3854" width="11.28515625" style="174" customWidth="1"/>
    <col min="3855" max="3855" width="19.85546875" style="174" customWidth="1"/>
    <col min="3856" max="3856" width="27.7109375" style="174" customWidth="1"/>
    <col min="3857" max="3857" width="10.28515625" style="174" customWidth="1"/>
    <col min="3858" max="4094" width="9.140625" style="174"/>
    <col min="4095" max="4096" width="7.7109375" style="174" customWidth="1"/>
    <col min="4097" max="4097" width="7.28515625" style="174" customWidth="1"/>
    <col min="4098" max="4098" width="9.140625" style="174" customWidth="1"/>
    <col min="4099" max="4099" width="7" style="174" customWidth="1"/>
    <col min="4100" max="4100" width="7.85546875" style="174" customWidth="1"/>
    <col min="4101" max="4101" width="9.85546875" style="174" customWidth="1"/>
    <col min="4102" max="4102" width="10.140625" style="174" customWidth="1"/>
    <col min="4103" max="4103" width="9" style="174" customWidth="1"/>
    <col min="4104" max="4104" width="9.42578125" style="174" customWidth="1"/>
    <col min="4105" max="4105" width="8.5703125" style="174" customWidth="1"/>
    <col min="4106" max="4106" width="6.42578125" style="174" customWidth="1"/>
    <col min="4107" max="4107" width="9.140625" style="174" customWidth="1"/>
    <col min="4108" max="4108" width="22.28515625" style="174" customWidth="1"/>
    <col min="4109" max="4109" width="25.7109375" style="174" customWidth="1"/>
    <col min="4110" max="4110" width="11.28515625" style="174" customWidth="1"/>
    <col min="4111" max="4111" width="19.85546875" style="174" customWidth="1"/>
    <col min="4112" max="4112" width="27.7109375" style="174" customWidth="1"/>
    <col min="4113" max="4113" width="10.28515625" style="174" customWidth="1"/>
    <col min="4114" max="4350" width="9.140625" style="174"/>
    <col min="4351" max="4352" width="7.7109375" style="174" customWidth="1"/>
    <col min="4353" max="4353" width="7.28515625" style="174" customWidth="1"/>
    <col min="4354" max="4354" width="9.140625" style="174" customWidth="1"/>
    <col min="4355" max="4355" width="7" style="174" customWidth="1"/>
    <col min="4356" max="4356" width="7.85546875" style="174" customWidth="1"/>
    <col min="4357" max="4357" width="9.85546875" style="174" customWidth="1"/>
    <col min="4358" max="4358" width="10.140625" style="174" customWidth="1"/>
    <col min="4359" max="4359" width="9" style="174" customWidth="1"/>
    <col min="4360" max="4360" width="9.42578125" style="174" customWidth="1"/>
    <col min="4361" max="4361" width="8.5703125" style="174" customWidth="1"/>
    <col min="4362" max="4362" width="6.42578125" style="174" customWidth="1"/>
    <col min="4363" max="4363" width="9.140625" style="174" customWidth="1"/>
    <col min="4364" max="4364" width="22.28515625" style="174" customWidth="1"/>
    <col min="4365" max="4365" width="25.7109375" style="174" customWidth="1"/>
    <col min="4366" max="4366" width="11.28515625" style="174" customWidth="1"/>
    <col min="4367" max="4367" width="19.85546875" style="174" customWidth="1"/>
    <col min="4368" max="4368" width="27.7109375" style="174" customWidth="1"/>
    <col min="4369" max="4369" width="10.28515625" style="174" customWidth="1"/>
    <col min="4370" max="4606" width="9.140625" style="174"/>
    <col min="4607" max="4608" width="7.7109375" style="174" customWidth="1"/>
    <col min="4609" max="4609" width="7.28515625" style="174" customWidth="1"/>
    <col min="4610" max="4610" width="9.140625" style="174" customWidth="1"/>
    <col min="4611" max="4611" width="7" style="174" customWidth="1"/>
    <col min="4612" max="4612" width="7.85546875" style="174" customWidth="1"/>
    <col min="4613" max="4613" width="9.85546875" style="174" customWidth="1"/>
    <col min="4614" max="4614" width="10.140625" style="174" customWidth="1"/>
    <col min="4615" max="4615" width="9" style="174" customWidth="1"/>
    <col min="4616" max="4616" width="9.42578125" style="174" customWidth="1"/>
    <col min="4617" max="4617" width="8.5703125" style="174" customWidth="1"/>
    <col min="4618" max="4618" width="6.42578125" style="174" customWidth="1"/>
    <col min="4619" max="4619" width="9.140625" style="174" customWidth="1"/>
    <col min="4620" max="4620" width="22.28515625" style="174" customWidth="1"/>
    <col min="4621" max="4621" width="25.7109375" style="174" customWidth="1"/>
    <col min="4622" max="4622" width="11.28515625" style="174" customWidth="1"/>
    <col min="4623" max="4623" width="19.85546875" style="174" customWidth="1"/>
    <col min="4624" max="4624" width="27.7109375" style="174" customWidth="1"/>
    <col min="4625" max="4625" width="10.28515625" style="174" customWidth="1"/>
    <col min="4626" max="4862" width="9.140625" style="174"/>
    <col min="4863" max="4864" width="7.7109375" style="174" customWidth="1"/>
    <col min="4865" max="4865" width="7.28515625" style="174" customWidth="1"/>
    <col min="4866" max="4866" width="9.140625" style="174" customWidth="1"/>
    <col min="4867" max="4867" width="7" style="174" customWidth="1"/>
    <col min="4868" max="4868" width="7.85546875" style="174" customWidth="1"/>
    <col min="4869" max="4869" width="9.85546875" style="174" customWidth="1"/>
    <col min="4870" max="4870" width="10.140625" style="174" customWidth="1"/>
    <col min="4871" max="4871" width="9" style="174" customWidth="1"/>
    <col min="4872" max="4872" width="9.42578125" style="174" customWidth="1"/>
    <col min="4873" max="4873" width="8.5703125" style="174" customWidth="1"/>
    <col min="4874" max="4874" width="6.42578125" style="174" customWidth="1"/>
    <col min="4875" max="4875" width="9.140625" style="174" customWidth="1"/>
    <col min="4876" max="4876" width="22.28515625" style="174" customWidth="1"/>
    <col min="4877" max="4877" width="25.7109375" style="174" customWidth="1"/>
    <col min="4878" max="4878" width="11.28515625" style="174" customWidth="1"/>
    <col min="4879" max="4879" width="19.85546875" style="174" customWidth="1"/>
    <col min="4880" max="4880" width="27.7109375" style="174" customWidth="1"/>
    <col min="4881" max="4881" width="10.28515625" style="174" customWidth="1"/>
    <col min="4882" max="5118" width="9.140625" style="174"/>
    <col min="5119" max="5120" width="7.7109375" style="174" customWidth="1"/>
    <col min="5121" max="5121" width="7.28515625" style="174" customWidth="1"/>
    <col min="5122" max="5122" width="9.140625" style="174" customWidth="1"/>
    <col min="5123" max="5123" width="7" style="174" customWidth="1"/>
    <col min="5124" max="5124" width="7.85546875" style="174" customWidth="1"/>
    <col min="5125" max="5125" width="9.85546875" style="174" customWidth="1"/>
    <col min="5126" max="5126" width="10.140625" style="174" customWidth="1"/>
    <col min="5127" max="5127" width="9" style="174" customWidth="1"/>
    <col min="5128" max="5128" width="9.42578125" style="174" customWidth="1"/>
    <col min="5129" max="5129" width="8.5703125" style="174" customWidth="1"/>
    <col min="5130" max="5130" width="6.42578125" style="174" customWidth="1"/>
    <col min="5131" max="5131" width="9.140625" style="174" customWidth="1"/>
    <col min="5132" max="5132" width="22.28515625" style="174" customWidth="1"/>
    <col min="5133" max="5133" width="25.7109375" style="174" customWidth="1"/>
    <col min="5134" max="5134" width="11.28515625" style="174" customWidth="1"/>
    <col min="5135" max="5135" width="19.85546875" style="174" customWidth="1"/>
    <col min="5136" max="5136" width="27.7109375" style="174" customWidth="1"/>
    <col min="5137" max="5137" width="10.28515625" style="174" customWidth="1"/>
    <col min="5138" max="5374" width="9.140625" style="174"/>
    <col min="5375" max="5376" width="7.7109375" style="174" customWidth="1"/>
    <col min="5377" max="5377" width="7.28515625" style="174" customWidth="1"/>
    <col min="5378" max="5378" width="9.140625" style="174" customWidth="1"/>
    <col min="5379" max="5379" width="7" style="174" customWidth="1"/>
    <col min="5380" max="5380" width="7.85546875" style="174" customWidth="1"/>
    <col min="5381" max="5381" width="9.85546875" style="174" customWidth="1"/>
    <col min="5382" max="5382" width="10.140625" style="174" customWidth="1"/>
    <col min="5383" max="5383" width="9" style="174" customWidth="1"/>
    <col min="5384" max="5384" width="9.42578125" style="174" customWidth="1"/>
    <col min="5385" max="5385" width="8.5703125" style="174" customWidth="1"/>
    <col min="5386" max="5386" width="6.42578125" style="174" customWidth="1"/>
    <col min="5387" max="5387" width="9.140625" style="174" customWidth="1"/>
    <col min="5388" max="5388" width="22.28515625" style="174" customWidth="1"/>
    <col min="5389" max="5389" width="25.7109375" style="174" customWidth="1"/>
    <col min="5390" max="5390" width="11.28515625" style="174" customWidth="1"/>
    <col min="5391" max="5391" width="19.85546875" style="174" customWidth="1"/>
    <col min="5392" max="5392" width="27.7109375" style="174" customWidth="1"/>
    <col min="5393" max="5393" width="10.28515625" style="174" customWidth="1"/>
    <col min="5394" max="5630" width="9.140625" style="174"/>
    <col min="5631" max="5632" width="7.7109375" style="174" customWidth="1"/>
    <col min="5633" max="5633" width="7.28515625" style="174" customWidth="1"/>
    <col min="5634" max="5634" width="9.140625" style="174" customWidth="1"/>
    <col min="5635" max="5635" width="7" style="174" customWidth="1"/>
    <col min="5636" max="5636" width="7.85546875" style="174" customWidth="1"/>
    <col min="5637" max="5637" width="9.85546875" style="174" customWidth="1"/>
    <col min="5638" max="5638" width="10.140625" style="174" customWidth="1"/>
    <col min="5639" max="5639" width="9" style="174" customWidth="1"/>
    <col min="5640" max="5640" width="9.42578125" style="174" customWidth="1"/>
    <col min="5641" max="5641" width="8.5703125" style="174" customWidth="1"/>
    <col min="5642" max="5642" width="6.42578125" style="174" customWidth="1"/>
    <col min="5643" max="5643" width="9.140625" style="174" customWidth="1"/>
    <col min="5644" max="5644" width="22.28515625" style="174" customWidth="1"/>
    <col min="5645" max="5645" width="25.7109375" style="174" customWidth="1"/>
    <col min="5646" max="5646" width="11.28515625" style="174" customWidth="1"/>
    <col min="5647" max="5647" width="19.85546875" style="174" customWidth="1"/>
    <col min="5648" max="5648" width="27.7109375" style="174" customWidth="1"/>
    <col min="5649" max="5649" width="10.28515625" style="174" customWidth="1"/>
    <col min="5650" max="5886" width="9.140625" style="174"/>
    <col min="5887" max="5888" width="7.7109375" style="174" customWidth="1"/>
    <col min="5889" max="5889" width="7.28515625" style="174" customWidth="1"/>
    <col min="5890" max="5890" width="9.140625" style="174" customWidth="1"/>
    <col min="5891" max="5891" width="7" style="174" customWidth="1"/>
    <col min="5892" max="5892" width="7.85546875" style="174" customWidth="1"/>
    <col min="5893" max="5893" width="9.85546875" style="174" customWidth="1"/>
    <col min="5894" max="5894" width="10.140625" style="174" customWidth="1"/>
    <col min="5895" max="5895" width="9" style="174" customWidth="1"/>
    <col min="5896" max="5896" width="9.42578125" style="174" customWidth="1"/>
    <col min="5897" max="5897" width="8.5703125" style="174" customWidth="1"/>
    <col min="5898" max="5898" width="6.42578125" style="174" customWidth="1"/>
    <col min="5899" max="5899" width="9.140625" style="174" customWidth="1"/>
    <col min="5900" max="5900" width="22.28515625" style="174" customWidth="1"/>
    <col min="5901" max="5901" width="25.7109375" style="174" customWidth="1"/>
    <col min="5902" max="5902" width="11.28515625" style="174" customWidth="1"/>
    <col min="5903" max="5903" width="19.85546875" style="174" customWidth="1"/>
    <col min="5904" max="5904" width="27.7109375" style="174" customWidth="1"/>
    <col min="5905" max="5905" width="10.28515625" style="174" customWidth="1"/>
    <col min="5906" max="6142" width="9.140625" style="174"/>
    <col min="6143" max="6144" width="7.7109375" style="174" customWidth="1"/>
    <col min="6145" max="6145" width="7.28515625" style="174" customWidth="1"/>
    <col min="6146" max="6146" width="9.140625" style="174" customWidth="1"/>
    <col min="6147" max="6147" width="7" style="174" customWidth="1"/>
    <col min="6148" max="6148" width="7.85546875" style="174" customWidth="1"/>
    <col min="6149" max="6149" width="9.85546875" style="174" customWidth="1"/>
    <col min="6150" max="6150" width="10.140625" style="174" customWidth="1"/>
    <col min="6151" max="6151" width="9" style="174" customWidth="1"/>
    <col min="6152" max="6152" width="9.42578125" style="174" customWidth="1"/>
    <col min="6153" max="6153" width="8.5703125" style="174" customWidth="1"/>
    <col min="6154" max="6154" width="6.42578125" style="174" customWidth="1"/>
    <col min="6155" max="6155" width="9.140625" style="174" customWidth="1"/>
    <col min="6156" max="6156" width="22.28515625" style="174" customWidth="1"/>
    <col min="6157" max="6157" width="25.7109375" style="174" customWidth="1"/>
    <col min="6158" max="6158" width="11.28515625" style="174" customWidth="1"/>
    <col min="6159" max="6159" width="19.85546875" style="174" customWidth="1"/>
    <col min="6160" max="6160" width="27.7109375" style="174" customWidth="1"/>
    <col min="6161" max="6161" width="10.28515625" style="174" customWidth="1"/>
    <col min="6162" max="6398" width="9.140625" style="174"/>
    <col min="6399" max="6400" width="7.7109375" style="174" customWidth="1"/>
    <col min="6401" max="6401" width="7.28515625" style="174" customWidth="1"/>
    <col min="6402" max="6402" width="9.140625" style="174" customWidth="1"/>
    <col min="6403" max="6403" width="7" style="174" customWidth="1"/>
    <col min="6404" max="6404" width="7.85546875" style="174" customWidth="1"/>
    <col min="6405" max="6405" width="9.85546875" style="174" customWidth="1"/>
    <col min="6406" max="6406" width="10.140625" style="174" customWidth="1"/>
    <col min="6407" max="6407" width="9" style="174" customWidth="1"/>
    <col min="6408" max="6408" width="9.42578125" style="174" customWidth="1"/>
    <col min="6409" max="6409" width="8.5703125" style="174" customWidth="1"/>
    <col min="6410" max="6410" width="6.42578125" style="174" customWidth="1"/>
    <col min="6411" max="6411" width="9.140625" style="174" customWidth="1"/>
    <col min="6412" max="6412" width="22.28515625" style="174" customWidth="1"/>
    <col min="6413" max="6413" width="25.7109375" style="174" customWidth="1"/>
    <col min="6414" max="6414" width="11.28515625" style="174" customWidth="1"/>
    <col min="6415" max="6415" width="19.85546875" style="174" customWidth="1"/>
    <col min="6416" max="6416" width="27.7109375" style="174" customWidth="1"/>
    <col min="6417" max="6417" width="10.28515625" style="174" customWidth="1"/>
    <col min="6418" max="6654" width="9.140625" style="174"/>
    <col min="6655" max="6656" width="7.7109375" style="174" customWidth="1"/>
    <col min="6657" max="6657" width="7.28515625" style="174" customWidth="1"/>
    <col min="6658" max="6658" width="9.140625" style="174" customWidth="1"/>
    <col min="6659" max="6659" width="7" style="174" customWidth="1"/>
    <col min="6660" max="6660" width="7.85546875" style="174" customWidth="1"/>
    <col min="6661" max="6661" width="9.85546875" style="174" customWidth="1"/>
    <col min="6662" max="6662" width="10.140625" style="174" customWidth="1"/>
    <col min="6663" max="6663" width="9" style="174" customWidth="1"/>
    <col min="6664" max="6664" width="9.42578125" style="174" customWidth="1"/>
    <col min="6665" max="6665" width="8.5703125" style="174" customWidth="1"/>
    <col min="6666" max="6666" width="6.42578125" style="174" customWidth="1"/>
    <col min="6667" max="6667" width="9.140625" style="174" customWidth="1"/>
    <col min="6668" max="6668" width="22.28515625" style="174" customWidth="1"/>
    <col min="6669" max="6669" width="25.7109375" style="174" customWidth="1"/>
    <col min="6670" max="6670" width="11.28515625" style="174" customWidth="1"/>
    <col min="6671" max="6671" width="19.85546875" style="174" customWidth="1"/>
    <col min="6672" max="6672" width="27.7109375" style="174" customWidth="1"/>
    <col min="6673" max="6673" width="10.28515625" style="174" customWidth="1"/>
    <col min="6674" max="6910" width="9.140625" style="174"/>
    <col min="6911" max="6912" width="7.7109375" style="174" customWidth="1"/>
    <col min="6913" max="6913" width="7.28515625" style="174" customWidth="1"/>
    <col min="6914" max="6914" width="9.140625" style="174" customWidth="1"/>
    <col min="6915" max="6915" width="7" style="174" customWidth="1"/>
    <col min="6916" max="6916" width="7.85546875" style="174" customWidth="1"/>
    <col min="6917" max="6917" width="9.85546875" style="174" customWidth="1"/>
    <col min="6918" max="6918" width="10.140625" style="174" customWidth="1"/>
    <col min="6919" max="6919" width="9" style="174" customWidth="1"/>
    <col min="6920" max="6920" width="9.42578125" style="174" customWidth="1"/>
    <col min="6921" max="6921" width="8.5703125" style="174" customWidth="1"/>
    <col min="6922" max="6922" width="6.42578125" style="174" customWidth="1"/>
    <col min="6923" max="6923" width="9.140625" style="174" customWidth="1"/>
    <col min="6924" max="6924" width="22.28515625" style="174" customWidth="1"/>
    <col min="6925" max="6925" width="25.7109375" style="174" customWidth="1"/>
    <col min="6926" max="6926" width="11.28515625" style="174" customWidth="1"/>
    <col min="6927" max="6927" width="19.85546875" style="174" customWidth="1"/>
    <col min="6928" max="6928" width="27.7109375" style="174" customWidth="1"/>
    <col min="6929" max="6929" width="10.28515625" style="174" customWidth="1"/>
    <col min="6930" max="7166" width="9.140625" style="174"/>
    <col min="7167" max="7168" width="7.7109375" style="174" customWidth="1"/>
    <col min="7169" max="7169" width="7.28515625" style="174" customWidth="1"/>
    <col min="7170" max="7170" width="9.140625" style="174" customWidth="1"/>
    <col min="7171" max="7171" width="7" style="174" customWidth="1"/>
    <col min="7172" max="7172" width="7.85546875" style="174" customWidth="1"/>
    <col min="7173" max="7173" width="9.85546875" style="174" customWidth="1"/>
    <col min="7174" max="7174" width="10.140625" style="174" customWidth="1"/>
    <col min="7175" max="7175" width="9" style="174" customWidth="1"/>
    <col min="7176" max="7176" width="9.42578125" style="174" customWidth="1"/>
    <col min="7177" max="7177" width="8.5703125" style="174" customWidth="1"/>
    <col min="7178" max="7178" width="6.42578125" style="174" customWidth="1"/>
    <col min="7179" max="7179" width="9.140625" style="174" customWidth="1"/>
    <col min="7180" max="7180" width="22.28515625" style="174" customWidth="1"/>
    <col min="7181" max="7181" width="25.7109375" style="174" customWidth="1"/>
    <col min="7182" max="7182" width="11.28515625" style="174" customWidth="1"/>
    <col min="7183" max="7183" width="19.85546875" style="174" customWidth="1"/>
    <col min="7184" max="7184" width="27.7109375" style="174" customWidth="1"/>
    <col min="7185" max="7185" width="10.28515625" style="174" customWidth="1"/>
    <col min="7186" max="7422" width="9.140625" style="174"/>
    <col min="7423" max="7424" width="7.7109375" style="174" customWidth="1"/>
    <col min="7425" max="7425" width="7.28515625" style="174" customWidth="1"/>
    <col min="7426" max="7426" width="9.140625" style="174" customWidth="1"/>
    <col min="7427" max="7427" width="7" style="174" customWidth="1"/>
    <col min="7428" max="7428" width="7.85546875" style="174" customWidth="1"/>
    <col min="7429" max="7429" width="9.85546875" style="174" customWidth="1"/>
    <col min="7430" max="7430" width="10.140625" style="174" customWidth="1"/>
    <col min="7431" max="7431" width="9" style="174" customWidth="1"/>
    <col min="7432" max="7432" width="9.42578125" style="174" customWidth="1"/>
    <col min="7433" max="7433" width="8.5703125" style="174" customWidth="1"/>
    <col min="7434" max="7434" width="6.42578125" style="174" customWidth="1"/>
    <col min="7435" max="7435" width="9.140625" style="174" customWidth="1"/>
    <col min="7436" max="7436" width="22.28515625" style="174" customWidth="1"/>
    <col min="7437" max="7437" width="25.7109375" style="174" customWidth="1"/>
    <col min="7438" max="7438" width="11.28515625" style="174" customWidth="1"/>
    <col min="7439" max="7439" width="19.85546875" style="174" customWidth="1"/>
    <col min="7440" max="7440" width="27.7109375" style="174" customWidth="1"/>
    <col min="7441" max="7441" width="10.28515625" style="174" customWidth="1"/>
    <col min="7442" max="7678" width="9.140625" style="174"/>
    <col min="7679" max="7680" width="7.7109375" style="174" customWidth="1"/>
    <col min="7681" max="7681" width="7.28515625" style="174" customWidth="1"/>
    <col min="7682" max="7682" width="9.140625" style="174" customWidth="1"/>
    <col min="7683" max="7683" width="7" style="174" customWidth="1"/>
    <col min="7684" max="7684" width="7.85546875" style="174" customWidth="1"/>
    <col min="7685" max="7685" width="9.85546875" style="174" customWidth="1"/>
    <col min="7686" max="7686" width="10.140625" style="174" customWidth="1"/>
    <col min="7687" max="7687" width="9" style="174" customWidth="1"/>
    <col min="7688" max="7688" width="9.42578125" style="174" customWidth="1"/>
    <col min="7689" max="7689" width="8.5703125" style="174" customWidth="1"/>
    <col min="7690" max="7690" width="6.42578125" style="174" customWidth="1"/>
    <col min="7691" max="7691" width="9.140625" style="174" customWidth="1"/>
    <col min="7692" max="7692" width="22.28515625" style="174" customWidth="1"/>
    <col min="7693" max="7693" width="25.7109375" style="174" customWidth="1"/>
    <col min="7694" max="7694" width="11.28515625" style="174" customWidth="1"/>
    <col min="7695" max="7695" width="19.85546875" style="174" customWidth="1"/>
    <col min="7696" max="7696" width="27.7109375" style="174" customWidth="1"/>
    <col min="7697" max="7697" width="10.28515625" style="174" customWidth="1"/>
    <col min="7698" max="7934" width="9.140625" style="174"/>
    <col min="7935" max="7936" width="7.7109375" style="174" customWidth="1"/>
    <col min="7937" max="7937" width="7.28515625" style="174" customWidth="1"/>
    <col min="7938" max="7938" width="9.140625" style="174" customWidth="1"/>
    <col min="7939" max="7939" width="7" style="174" customWidth="1"/>
    <col min="7940" max="7940" width="7.85546875" style="174" customWidth="1"/>
    <col min="7941" max="7941" width="9.85546875" style="174" customWidth="1"/>
    <col min="7942" max="7942" width="10.140625" style="174" customWidth="1"/>
    <col min="7943" max="7943" width="9" style="174" customWidth="1"/>
    <col min="7944" max="7944" width="9.42578125" style="174" customWidth="1"/>
    <col min="7945" max="7945" width="8.5703125" style="174" customWidth="1"/>
    <col min="7946" max="7946" width="6.42578125" style="174" customWidth="1"/>
    <col min="7947" max="7947" width="9.140625" style="174" customWidth="1"/>
    <col min="7948" max="7948" width="22.28515625" style="174" customWidth="1"/>
    <col min="7949" max="7949" width="25.7109375" style="174" customWidth="1"/>
    <col min="7950" max="7950" width="11.28515625" style="174" customWidth="1"/>
    <col min="7951" max="7951" width="19.85546875" style="174" customWidth="1"/>
    <col min="7952" max="7952" width="27.7109375" style="174" customWidth="1"/>
    <col min="7953" max="7953" width="10.28515625" style="174" customWidth="1"/>
    <col min="7954" max="8190" width="9.140625" style="174"/>
    <col min="8191" max="8192" width="7.7109375" style="174" customWidth="1"/>
    <col min="8193" max="8193" width="7.28515625" style="174" customWidth="1"/>
    <col min="8194" max="8194" width="9.140625" style="174" customWidth="1"/>
    <col min="8195" max="8195" width="7" style="174" customWidth="1"/>
    <col min="8196" max="8196" width="7.85546875" style="174" customWidth="1"/>
    <col min="8197" max="8197" width="9.85546875" style="174" customWidth="1"/>
    <col min="8198" max="8198" width="10.140625" style="174" customWidth="1"/>
    <col min="8199" max="8199" width="9" style="174" customWidth="1"/>
    <col min="8200" max="8200" width="9.42578125" style="174" customWidth="1"/>
    <col min="8201" max="8201" width="8.5703125" style="174" customWidth="1"/>
    <col min="8202" max="8202" width="6.42578125" style="174" customWidth="1"/>
    <col min="8203" max="8203" width="9.140625" style="174" customWidth="1"/>
    <col min="8204" max="8204" width="22.28515625" style="174" customWidth="1"/>
    <col min="8205" max="8205" width="25.7109375" style="174" customWidth="1"/>
    <col min="8206" max="8206" width="11.28515625" style="174" customWidth="1"/>
    <col min="8207" max="8207" width="19.85546875" style="174" customWidth="1"/>
    <col min="8208" max="8208" width="27.7109375" style="174" customWidth="1"/>
    <col min="8209" max="8209" width="10.28515625" style="174" customWidth="1"/>
    <col min="8210" max="8446" width="9.140625" style="174"/>
    <col min="8447" max="8448" width="7.7109375" style="174" customWidth="1"/>
    <col min="8449" max="8449" width="7.28515625" style="174" customWidth="1"/>
    <col min="8450" max="8450" width="9.140625" style="174" customWidth="1"/>
    <col min="8451" max="8451" width="7" style="174" customWidth="1"/>
    <col min="8452" max="8452" width="7.85546875" style="174" customWidth="1"/>
    <col min="8453" max="8453" width="9.85546875" style="174" customWidth="1"/>
    <col min="8454" max="8454" width="10.140625" style="174" customWidth="1"/>
    <col min="8455" max="8455" width="9" style="174" customWidth="1"/>
    <col min="8456" max="8456" width="9.42578125" style="174" customWidth="1"/>
    <col min="8457" max="8457" width="8.5703125" style="174" customWidth="1"/>
    <col min="8458" max="8458" width="6.42578125" style="174" customWidth="1"/>
    <col min="8459" max="8459" width="9.140625" style="174" customWidth="1"/>
    <col min="8460" max="8460" width="22.28515625" style="174" customWidth="1"/>
    <col min="8461" max="8461" width="25.7109375" style="174" customWidth="1"/>
    <col min="8462" max="8462" width="11.28515625" style="174" customWidth="1"/>
    <col min="8463" max="8463" width="19.85546875" style="174" customWidth="1"/>
    <col min="8464" max="8464" width="27.7109375" style="174" customWidth="1"/>
    <col min="8465" max="8465" width="10.28515625" style="174" customWidth="1"/>
    <col min="8466" max="8702" width="9.140625" style="174"/>
    <col min="8703" max="8704" width="7.7109375" style="174" customWidth="1"/>
    <col min="8705" max="8705" width="7.28515625" style="174" customWidth="1"/>
    <col min="8706" max="8706" width="9.140625" style="174" customWidth="1"/>
    <col min="8707" max="8707" width="7" style="174" customWidth="1"/>
    <col min="8708" max="8708" width="7.85546875" style="174" customWidth="1"/>
    <col min="8709" max="8709" width="9.85546875" style="174" customWidth="1"/>
    <col min="8710" max="8710" width="10.140625" style="174" customWidth="1"/>
    <col min="8711" max="8711" width="9" style="174" customWidth="1"/>
    <col min="8712" max="8712" width="9.42578125" style="174" customWidth="1"/>
    <col min="8713" max="8713" width="8.5703125" style="174" customWidth="1"/>
    <col min="8714" max="8714" width="6.42578125" style="174" customWidth="1"/>
    <col min="8715" max="8715" width="9.140625" style="174" customWidth="1"/>
    <col min="8716" max="8716" width="22.28515625" style="174" customWidth="1"/>
    <col min="8717" max="8717" width="25.7109375" style="174" customWidth="1"/>
    <col min="8718" max="8718" width="11.28515625" style="174" customWidth="1"/>
    <col min="8719" max="8719" width="19.85546875" style="174" customWidth="1"/>
    <col min="8720" max="8720" width="27.7109375" style="174" customWidth="1"/>
    <col min="8721" max="8721" width="10.28515625" style="174" customWidth="1"/>
    <col min="8722" max="8958" width="9.140625" style="174"/>
    <col min="8959" max="8960" width="7.7109375" style="174" customWidth="1"/>
    <col min="8961" max="8961" width="7.28515625" style="174" customWidth="1"/>
    <col min="8962" max="8962" width="9.140625" style="174" customWidth="1"/>
    <col min="8963" max="8963" width="7" style="174" customWidth="1"/>
    <col min="8964" max="8964" width="7.85546875" style="174" customWidth="1"/>
    <col min="8965" max="8965" width="9.85546875" style="174" customWidth="1"/>
    <col min="8966" max="8966" width="10.140625" style="174" customWidth="1"/>
    <col min="8967" max="8967" width="9" style="174" customWidth="1"/>
    <col min="8968" max="8968" width="9.42578125" style="174" customWidth="1"/>
    <col min="8969" max="8969" width="8.5703125" style="174" customWidth="1"/>
    <col min="8970" max="8970" width="6.42578125" style="174" customWidth="1"/>
    <col min="8971" max="8971" width="9.140625" style="174" customWidth="1"/>
    <col min="8972" max="8972" width="22.28515625" style="174" customWidth="1"/>
    <col min="8973" max="8973" width="25.7109375" style="174" customWidth="1"/>
    <col min="8974" max="8974" width="11.28515625" style="174" customWidth="1"/>
    <col min="8975" max="8975" width="19.85546875" style="174" customWidth="1"/>
    <col min="8976" max="8976" width="27.7109375" style="174" customWidth="1"/>
    <col min="8977" max="8977" width="10.28515625" style="174" customWidth="1"/>
    <col min="8978" max="9214" width="9.140625" style="174"/>
    <col min="9215" max="9216" width="7.7109375" style="174" customWidth="1"/>
    <col min="9217" max="9217" width="7.28515625" style="174" customWidth="1"/>
    <col min="9218" max="9218" width="9.140625" style="174" customWidth="1"/>
    <col min="9219" max="9219" width="7" style="174" customWidth="1"/>
    <col min="9220" max="9220" width="7.85546875" style="174" customWidth="1"/>
    <col min="9221" max="9221" width="9.85546875" style="174" customWidth="1"/>
    <col min="9222" max="9222" width="10.140625" style="174" customWidth="1"/>
    <col min="9223" max="9223" width="9" style="174" customWidth="1"/>
    <col min="9224" max="9224" width="9.42578125" style="174" customWidth="1"/>
    <col min="9225" max="9225" width="8.5703125" style="174" customWidth="1"/>
    <col min="9226" max="9226" width="6.42578125" style="174" customWidth="1"/>
    <col min="9227" max="9227" width="9.140625" style="174" customWidth="1"/>
    <col min="9228" max="9228" width="22.28515625" style="174" customWidth="1"/>
    <col min="9229" max="9229" width="25.7109375" style="174" customWidth="1"/>
    <col min="9230" max="9230" width="11.28515625" style="174" customWidth="1"/>
    <col min="9231" max="9231" width="19.85546875" style="174" customWidth="1"/>
    <col min="9232" max="9232" width="27.7109375" style="174" customWidth="1"/>
    <col min="9233" max="9233" width="10.28515625" style="174" customWidth="1"/>
    <col min="9234" max="9470" width="9.140625" style="174"/>
    <col min="9471" max="9472" width="7.7109375" style="174" customWidth="1"/>
    <col min="9473" max="9473" width="7.28515625" style="174" customWidth="1"/>
    <col min="9474" max="9474" width="9.140625" style="174" customWidth="1"/>
    <col min="9475" max="9475" width="7" style="174" customWidth="1"/>
    <col min="9476" max="9476" width="7.85546875" style="174" customWidth="1"/>
    <col min="9477" max="9477" width="9.85546875" style="174" customWidth="1"/>
    <col min="9478" max="9478" width="10.140625" style="174" customWidth="1"/>
    <col min="9479" max="9479" width="9" style="174" customWidth="1"/>
    <col min="9480" max="9480" width="9.42578125" style="174" customWidth="1"/>
    <col min="9481" max="9481" width="8.5703125" style="174" customWidth="1"/>
    <col min="9482" max="9482" width="6.42578125" style="174" customWidth="1"/>
    <col min="9483" max="9483" width="9.140625" style="174" customWidth="1"/>
    <col min="9484" max="9484" width="22.28515625" style="174" customWidth="1"/>
    <col min="9485" max="9485" width="25.7109375" style="174" customWidth="1"/>
    <col min="9486" max="9486" width="11.28515625" style="174" customWidth="1"/>
    <col min="9487" max="9487" width="19.85546875" style="174" customWidth="1"/>
    <col min="9488" max="9488" width="27.7109375" style="174" customWidth="1"/>
    <col min="9489" max="9489" width="10.28515625" style="174" customWidth="1"/>
    <col min="9490" max="9726" width="9.140625" style="174"/>
    <col min="9727" max="9728" width="7.7109375" style="174" customWidth="1"/>
    <col min="9729" max="9729" width="7.28515625" style="174" customWidth="1"/>
    <col min="9730" max="9730" width="9.140625" style="174" customWidth="1"/>
    <col min="9731" max="9731" width="7" style="174" customWidth="1"/>
    <col min="9732" max="9732" width="7.85546875" style="174" customWidth="1"/>
    <col min="9733" max="9733" width="9.85546875" style="174" customWidth="1"/>
    <col min="9734" max="9734" width="10.140625" style="174" customWidth="1"/>
    <col min="9735" max="9735" width="9" style="174" customWidth="1"/>
    <col min="9736" max="9736" width="9.42578125" style="174" customWidth="1"/>
    <col min="9737" max="9737" width="8.5703125" style="174" customWidth="1"/>
    <col min="9738" max="9738" width="6.42578125" style="174" customWidth="1"/>
    <col min="9739" max="9739" width="9.140625" style="174" customWidth="1"/>
    <col min="9740" max="9740" width="22.28515625" style="174" customWidth="1"/>
    <col min="9741" max="9741" width="25.7109375" style="174" customWidth="1"/>
    <col min="9742" max="9742" width="11.28515625" style="174" customWidth="1"/>
    <col min="9743" max="9743" width="19.85546875" style="174" customWidth="1"/>
    <col min="9744" max="9744" width="27.7109375" style="174" customWidth="1"/>
    <col min="9745" max="9745" width="10.28515625" style="174" customWidth="1"/>
    <col min="9746" max="9982" width="9.140625" style="174"/>
    <col min="9983" max="9984" width="7.7109375" style="174" customWidth="1"/>
    <col min="9985" max="9985" width="7.28515625" style="174" customWidth="1"/>
    <col min="9986" max="9986" width="9.140625" style="174" customWidth="1"/>
    <col min="9987" max="9987" width="7" style="174" customWidth="1"/>
    <col min="9988" max="9988" width="7.85546875" style="174" customWidth="1"/>
    <col min="9989" max="9989" width="9.85546875" style="174" customWidth="1"/>
    <col min="9990" max="9990" width="10.140625" style="174" customWidth="1"/>
    <col min="9991" max="9991" width="9" style="174" customWidth="1"/>
    <col min="9992" max="9992" width="9.42578125" style="174" customWidth="1"/>
    <col min="9993" max="9993" width="8.5703125" style="174" customWidth="1"/>
    <col min="9994" max="9994" width="6.42578125" style="174" customWidth="1"/>
    <col min="9995" max="9995" width="9.140625" style="174" customWidth="1"/>
    <col min="9996" max="9996" width="22.28515625" style="174" customWidth="1"/>
    <col min="9997" max="9997" width="25.7109375" style="174" customWidth="1"/>
    <col min="9998" max="9998" width="11.28515625" style="174" customWidth="1"/>
    <col min="9999" max="9999" width="19.85546875" style="174" customWidth="1"/>
    <col min="10000" max="10000" width="27.7109375" style="174" customWidth="1"/>
    <col min="10001" max="10001" width="10.28515625" style="174" customWidth="1"/>
    <col min="10002" max="10238" width="9.140625" style="174"/>
    <col min="10239" max="10240" width="7.7109375" style="174" customWidth="1"/>
    <col min="10241" max="10241" width="7.28515625" style="174" customWidth="1"/>
    <col min="10242" max="10242" width="9.140625" style="174" customWidth="1"/>
    <col min="10243" max="10243" width="7" style="174" customWidth="1"/>
    <col min="10244" max="10244" width="7.85546875" style="174" customWidth="1"/>
    <col min="10245" max="10245" width="9.85546875" style="174" customWidth="1"/>
    <col min="10246" max="10246" width="10.140625" style="174" customWidth="1"/>
    <col min="10247" max="10247" width="9" style="174" customWidth="1"/>
    <col min="10248" max="10248" width="9.42578125" style="174" customWidth="1"/>
    <col min="10249" max="10249" width="8.5703125" style="174" customWidth="1"/>
    <col min="10250" max="10250" width="6.42578125" style="174" customWidth="1"/>
    <col min="10251" max="10251" width="9.140625" style="174" customWidth="1"/>
    <col min="10252" max="10252" width="22.28515625" style="174" customWidth="1"/>
    <col min="10253" max="10253" width="25.7109375" style="174" customWidth="1"/>
    <col min="10254" max="10254" width="11.28515625" style="174" customWidth="1"/>
    <col min="10255" max="10255" width="19.85546875" style="174" customWidth="1"/>
    <col min="10256" max="10256" width="27.7109375" style="174" customWidth="1"/>
    <col min="10257" max="10257" width="10.28515625" style="174" customWidth="1"/>
    <col min="10258" max="10494" width="9.140625" style="174"/>
    <col min="10495" max="10496" width="7.7109375" style="174" customWidth="1"/>
    <col min="10497" max="10497" width="7.28515625" style="174" customWidth="1"/>
    <col min="10498" max="10498" width="9.140625" style="174" customWidth="1"/>
    <col min="10499" max="10499" width="7" style="174" customWidth="1"/>
    <col min="10500" max="10500" width="7.85546875" style="174" customWidth="1"/>
    <col min="10501" max="10501" width="9.85546875" style="174" customWidth="1"/>
    <col min="10502" max="10502" width="10.140625" style="174" customWidth="1"/>
    <col min="10503" max="10503" width="9" style="174" customWidth="1"/>
    <col min="10504" max="10504" width="9.42578125" style="174" customWidth="1"/>
    <col min="10505" max="10505" width="8.5703125" style="174" customWidth="1"/>
    <col min="10506" max="10506" width="6.42578125" style="174" customWidth="1"/>
    <col min="10507" max="10507" width="9.140625" style="174" customWidth="1"/>
    <col min="10508" max="10508" width="22.28515625" style="174" customWidth="1"/>
    <col min="10509" max="10509" width="25.7109375" style="174" customWidth="1"/>
    <col min="10510" max="10510" width="11.28515625" style="174" customWidth="1"/>
    <col min="10511" max="10511" width="19.85546875" style="174" customWidth="1"/>
    <col min="10512" max="10512" width="27.7109375" style="174" customWidth="1"/>
    <col min="10513" max="10513" width="10.28515625" style="174" customWidth="1"/>
    <col min="10514" max="10750" width="9.140625" style="174"/>
    <col min="10751" max="10752" width="7.7109375" style="174" customWidth="1"/>
    <col min="10753" max="10753" width="7.28515625" style="174" customWidth="1"/>
    <col min="10754" max="10754" width="9.140625" style="174" customWidth="1"/>
    <col min="10755" max="10755" width="7" style="174" customWidth="1"/>
    <col min="10756" max="10756" width="7.85546875" style="174" customWidth="1"/>
    <col min="10757" max="10757" width="9.85546875" style="174" customWidth="1"/>
    <col min="10758" max="10758" width="10.140625" style="174" customWidth="1"/>
    <col min="10759" max="10759" width="9" style="174" customWidth="1"/>
    <col min="10760" max="10760" width="9.42578125" style="174" customWidth="1"/>
    <col min="10761" max="10761" width="8.5703125" style="174" customWidth="1"/>
    <col min="10762" max="10762" width="6.42578125" style="174" customWidth="1"/>
    <col min="10763" max="10763" width="9.140625" style="174" customWidth="1"/>
    <col min="10764" max="10764" width="22.28515625" style="174" customWidth="1"/>
    <col min="10765" max="10765" width="25.7109375" style="174" customWidth="1"/>
    <col min="10766" max="10766" width="11.28515625" style="174" customWidth="1"/>
    <col min="10767" max="10767" width="19.85546875" style="174" customWidth="1"/>
    <col min="10768" max="10768" width="27.7109375" style="174" customWidth="1"/>
    <col min="10769" max="10769" width="10.28515625" style="174" customWidth="1"/>
    <col min="10770" max="11006" width="9.140625" style="174"/>
    <col min="11007" max="11008" width="7.7109375" style="174" customWidth="1"/>
    <col min="11009" max="11009" width="7.28515625" style="174" customWidth="1"/>
    <col min="11010" max="11010" width="9.140625" style="174" customWidth="1"/>
    <col min="11011" max="11011" width="7" style="174" customWidth="1"/>
    <col min="11012" max="11012" width="7.85546875" style="174" customWidth="1"/>
    <col min="11013" max="11013" width="9.85546875" style="174" customWidth="1"/>
    <col min="11014" max="11014" width="10.140625" style="174" customWidth="1"/>
    <col min="11015" max="11015" width="9" style="174" customWidth="1"/>
    <col min="11016" max="11016" width="9.42578125" style="174" customWidth="1"/>
    <col min="11017" max="11017" width="8.5703125" style="174" customWidth="1"/>
    <col min="11018" max="11018" width="6.42578125" style="174" customWidth="1"/>
    <col min="11019" max="11019" width="9.140625" style="174" customWidth="1"/>
    <col min="11020" max="11020" width="22.28515625" style="174" customWidth="1"/>
    <col min="11021" max="11021" width="25.7109375" style="174" customWidth="1"/>
    <col min="11022" max="11022" width="11.28515625" style="174" customWidth="1"/>
    <col min="11023" max="11023" width="19.85546875" style="174" customWidth="1"/>
    <col min="11024" max="11024" width="27.7109375" style="174" customWidth="1"/>
    <col min="11025" max="11025" width="10.28515625" style="174" customWidth="1"/>
    <col min="11026" max="11262" width="9.140625" style="174"/>
    <col min="11263" max="11264" width="7.7109375" style="174" customWidth="1"/>
    <col min="11265" max="11265" width="7.28515625" style="174" customWidth="1"/>
    <col min="11266" max="11266" width="9.140625" style="174" customWidth="1"/>
    <col min="11267" max="11267" width="7" style="174" customWidth="1"/>
    <col min="11268" max="11268" width="7.85546875" style="174" customWidth="1"/>
    <col min="11269" max="11269" width="9.85546875" style="174" customWidth="1"/>
    <col min="11270" max="11270" width="10.140625" style="174" customWidth="1"/>
    <col min="11271" max="11271" width="9" style="174" customWidth="1"/>
    <col min="11272" max="11272" width="9.42578125" style="174" customWidth="1"/>
    <col min="11273" max="11273" width="8.5703125" style="174" customWidth="1"/>
    <col min="11274" max="11274" width="6.42578125" style="174" customWidth="1"/>
    <col min="11275" max="11275" width="9.140625" style="174" customWidth="1"/>
    <col min="11276" max="11276" width="22.28515625" style="174" customWidth="1"/>
    <col min="11277" max="11277" width="25.7109375" style="174" customWidth="1"/>
    <col min="11278" max="11278" width="11.28515625" style="174" customWidth="1"/>
    <col min="11279" max="11279" width="19.85546875" style="174" customWidth="1"/>
    <col min="11280" max="11280" width="27.7109375" style="174" customWidth="1"/>
    <col min="11281" max="11281" width="10.28515625" style="174" customWidth="1"/>
    <col min="11282" max="11518" width="9.140625" style="174"/>
    <col min="11519" max="11520" width="7.7109375" style="174" customWidth="1"/>
    <col min="11521" max="11521" width="7.28515625" style="174" customWidth="1"/>
    <col min="11522" max="11522" width="9.140625" style="174" customWidth="1"/>
    <col min="11523" max="11523" width="7" style="174" customWidth="1"/>
    <col min="11524" max="11524" width="7.85546875" style="174" customWidth="1"/>
    <col min="11525" max="11525" width="9.85546875" style="174" customWidth="1"/>
    <col min="11526" max="11526" width="10.140625" style="174" customWidth="1"/>
    <col min="11527" max="11527" width="9" style="174" customWidth="1"/>
    <col min="11528" max="11528" width="9.42578125" style="174" customWidth="1"/>
    <col min="11529" max="11529" width="8.5703125" style="174" customWidth="1"/>
    <col min="11530" max="11530" width="6.42578125" style="174" customWidth="1"/>
    <col min="11531" max="11531" width="9.140625" style="174" customWidth="1"/>
    <col min="11532" max="11532" width="22.28515625" style="174" customWidth="1"/>
    <col min="11533" max="11533" width="25.7109375" style="174" customWidth="1"/>
    <col min="11534" max="11534" width="11.28515625" style="174" customWidth="1"/>
    <col min="11535" max="11535" width="19.85546875" style="174" customWidth="1"/>
    <col min="11536" max="11536" width="27.7109375" style="174" customWidth="1"/>
    <col min="11537" max="11537" width="10.28515625" style="174" customWidth="1"/>
    <col min="11538" max="11774" width="9.140625" style="174"/>
    <col min="11775" max="11776" width="7.7109375" style="174" customWidth="1"/>
    <col min="11777" max="11777" width="7.28515625" style="174" customWidth="1"/>
    <col min="11778" max="11778" width="9.140625" style="174" customWidth="1"/>
    <col min="11779" max="11779" width="7" style="174" customWidth="1"/>
    <col min="11780" max="11780" width="7.85546875" style="174" customWidth="1"/>
    <col min="11781" max="11781" width="9.85546875" style="174" customWidth="1"/>
    <col min="11782" max="11782" width="10.140625" style="174" customWidth="1"/>
    <col min="11783" max="11783" width="9" style="174" customWidth="1"/>
    <col min="11784" max="11784" width="9.42578125" style="174" customWidth="1"/>
    <col min="11785" max="11785" width="8.5703125" style="174" customWidth="1"/>
    <col min="11786" max="11786" width="6.42578125" style="174" customWidth="1"/>
    <col min="11787" max="11787" width="9.140625" style="174" customWidth="1"/>
    <col min="11788" max="11788" width="22.28515625" style="174" customWidth="1"/>
    <col min="11789" max="11789" width="25.7109375" style="174" customWidth="1"/>
    <col min="11790" max="11790" width="11.28515625" style="174" customWidth="1"/>
    <col min="11791" max="11791" width="19.85546875" style="174" customWidth="1"/>
    <col min="11792" max="11792" width="27.7109375" style="174" customWidth="1"/>
    <col min="11793" max="11793" width="10.28515625" style="174" customWidth="1"/>
    <col min="11794" max="12030" width="9.140625" style="174"/>
    <col min="12031" max="12032" width="7.7109375" style="174" customWidth="1"/>
    <col min="12033" max="12033" width="7.28515625" style="174" customWidth="1"/>
    <col min="12034" max="12034" width="9.140625" style="174" customWidth="1"/>
    <col min="12035" max="12035" width="7" style="174" customWidth="1"/>
    <col min="12036" max="12036" width="7.85546875" style="174" customWidth="1"/>
    <col min="12037" max="12037" width="9.85546875" style="174" customWidth="1"/>
    <col min="12038" max="12038" width="10.140625" style="174" customWidth="1"/>
    <col min="12039" max="12039" width="9" style="174" customWidth="1"/>
    <col min="12040" max="12040" width="9.42578125" style="174" customWidth="1"/>
    <col min="12041" max="12041" width="8.5703125" style="174" customWidth="1"/>
    <col min="12042" max="12042" width="6.42578125" style="174" customWidth="1"/>
    <col min="12043" max="12043" width="9.140625" style="174" customWidth="1"/>
    <col min="12044" max="12044" width="22.28515625" style="174" customWidth="1"/>
    <col min="12045" max="12045" width="25.7109375" style="174" customWidth="1"/>
    <col min="12046" max="12046" width="11.28515625" style="174" customWidth="1"/>
    <col min="12047" max="12047" width="19.85546875" style="174" customWidth="1"/>
    <col min="12048" max="12048" width="27.7109375" style="174" customWidth="1"/>
    <col min="12049" max="12049" width="10.28515625" style="174" customWidth="1"/>
    <col min="12050" max="12286" width="9.140625" style="174"/>
    <col min="12287" max="12288" width="7.7109375" style="174" customWidth="1"/>
    <col min="12289" max="12289" width="7.28515625" style="174" customWidth="1"/>
    <col min="12290" max="12290" width="9.140625" style="174" customWidth="1"/>
    <col min="12291" max="12291" width="7" style="174" customWidth="1"/>
    <col min="12292" max="12292" width="7.85546875" style="174" customWidth="1"/>
    <col min="12293" max="12293" width="9.85546875" style="174" customWidth="1"/>
    <col min="12294" max="12294" width="10.140625" style="174" customWidth="1"/>
    <col min="12295" max="12295" width="9" style="174" customWidth="1"/>
    <col min="12296" max="12296" width="9.42578125" style="174" customWidth="1"/>
    <col min="12297" max="12297" width="8.5703125" style="174" customWidth="1"/>
    <col min="12298" max="12298" width="6.42578125" style="174" customWidth="1"/>
    <col min="12299" max="12299" width="9.140625" style="174" customWidth="1"/>
    <col min="12300" max="12300" width="22.28515625" style="174" customWidth="1"/>
    <col min="12301" max="12301" width="25.7109375" style="174" customWidth="1"/>
    <col min="12302" max="12302" width="11.28515625" style="174" customWidth="1"/>
    <col min="12303" max="12303" width="19.85546875" style="174" customWidth="1"/>
    <col min="12304" max="12304" width="27.7109375" style="174" customWidth="1"/>
    <col min="12305" max="12305" width="10.28515625" style="174" customWidth="1"/>
    <col min="12306" max="12542" width="9.140625" style="174"/>
    <col min="12543" max="12544" width="7.7109375" style="174" customWidth="1"/>
    <col min="12545" max="12545" width="7.28515625" style="174" customWidth="1"/>
    <col min="12546" max="12546" width="9.140625" style="174" customWidth="1"/>
    <col min="12547" max="12547" width="7" style="174" customWidth="1"/>
    <col min="12548" max="12548" width="7.85546875" style="174" customWidth="1"/>
    <col min="12549" max="12549" width="9.85546875" style="174" customWidth="1"/>
    <col min="12550" max="12550" width="10.140625" style="174" customWidth="1"/>
    <col min="12551" max="12551" width="9" style="174" customWidth="1"/>
    <col min="12552" max="12552" width="9.42578125" style="174" customWidth="1"/>
    <col min="12553" max="12553" width="8.5703125" style="174" customWidth="1"/>
    <col min="12554" max="12554" width="6.42578125" style="174" customWidth="1"/>
    <col min="12555" max="12555" width="9.140625" style="174" customWidth="1"/>
    <col min="12556" max="12556" width="22.28515625" style="174" customWidth="1"/>
    <col min="12557" max="12557" width="25.7109375" style="174" customWidth="1"/>
    <col min="12558" max="12558" width="11.28515625" style="174" customWidth="1"/>
    <col min="12559" max="12559" width="19.85546875" style="174" customWidth="1"/>
    <col min="12560" max="12560" width="27.7109375" style="174" customWidth="1"/>
    <col min="12561" max="12561" width="10.28515625" style="174" customWidth="1"/>
    <col min="12562" max="12798" width="9.140625" style="174"/>
    <col min="12799" max="12800" width="7.7109375" style="174" customWidth="1"/>
    <col min="12801" max="12801" width="7.28515625" style="174" customWidth="1"/>
    <col min="12802" max="12802" width="9.140625" style="174" customWidth="1"/>
    <col min="12803" max="12803" width="7" style="174" customWidth="1"/>
    <col min="12804" max="12804" width="7.85546875" style="174" customWidth="1"/>
    <col min="12805" max="12805" width="9.85546875" style="174" customWidth="1"/>
    <col min="12806" max="12806" width="10.140625" style="174" customWidth="1"/>
    <col min="12807" max="12807" width="9" style="174" customWidth="1"/>
    <col min="12808" max="12808" width="9.42578125" style="174" customWidth="1"/>
    <col min="12809" max="12809" width="8.5703125" style="174" customWidth="1"/>
    <col min="12810" max="12810" width="6.42578125" style="174" customWidth="1"/>
    <col min="12811" max="12811" width="9.140625" style="174" customWidth="1"/>
    <col min="12812" max="12812" width="22.28515625" style="174" customWidth="1"/>
    <col min="12813" max="12813" width="25.7109375" style="174" customWidth="1"/>
    <col min="12814" max="12814" width="11.28515625" style="174" customWidth="1"/>
    <col min="12815" max="12815" width="19.85546875" style="174" customWidth="1"/>
    <col min="12816" max="12816" width="27.7109375" style="174" customWidth="1"/>
    <col min="12817" max="12817" width="10.28515625" style="174" customWidth="1"/>
    <col min="12818" max="13054" width="9.140625" style="174"/>
    <col min="13055" max="13056" width="7.7109375" style="174" customWidth="1"/>
    <col min="13057" max="13057" width="7.28515625" style="174" customWidth="1"/>
    <col min="13058" max="13058" width="9.140625" style="174" customWidth="1"/>
    <col min="13059" max="13059" width="7" style="174" customWidth="1"/>
    <col min="13060" max="13060" width="7.85546875" style="174" customWidth="1"/>
    <col min="13061" max="13061" width="9.85546875" style="174" customWidth="1"/>
    <col min="13062" max="13062" width="10.140625" style="174" customWidth="1"/>
    <col min="13063" max="13063" width="9" style="174" customWidth="1"/>
    <col min="13064" max="13064" width="9.42578125" style="174" customWidth="1"/>
    <col min="13065" max="13065" width="8.5703125" style="174" customWidth="1"/>
    <col min="13066" max="13066" width="6.42578125" style="174" customWidth="1"/>
    <col min="13067" max="13067" width="9.140625" style="174" customWidth="1"/>
    <col min="13068" max="13068" width="22.28515625" style="174" customWidth="1"/>
    <col min="13069" max="13069" width="25.7109375" style="174" customWidth="1"/>
    <col min="13070" max="13070" width="11.28515625" style="174" customWidth="1"/>
    <col min="13071" max="13071" width="19.85546875" style="174" customWidth="1"/>
    <col min="13072" max="13072" width="27.7109375" style="174" customWidth="1"/>
    <col min="13073" max="13073" width="10.28515625" style="174" customWidth="1"/>
    <col min="13074" max="13310" width="9.140625" style="174"/>
    <col min="13311" max="13312" width="7.7109375" style="174" customWidth="1"/>
    <col min="13313" max="13313" width="7.28515625" style="174" customWidth="1"/>
    <col min="13314" max="13314" width="9.140625" style="174" customWidth="1"/>
    <col min="13315" max="13315" width="7" style="174" customWidth="1"/>
    <col min="13316" max="13316" width="7.85546875" style="174" customWidth="1"/>
    <col min="13317" max="13317" width="9.85546875" style="174" customWidth="1"/>
    <col min="13318" max="13318" width="10.140625" style="174" customWidth="1"/>
    <col min="13319" max="13319" width="9" style="174" customWidth="1"/>
    <col min="13320" max="13320" width="9.42578125" style="174" customWidth="1"/>
    <col min="13321" max="13321" width="8.5703125" style="174" customWidth="1"/>
    <col min="13322" max="13322" width="6.42578125" style="174" customWidth="1"/>
    <col min="13323" max="13323" width="9.140625" style="174" customWidth="1"/>
    <col min="13324" max="13324" width="22.28515625" style="174" customWidth="1"/>
    <col min="13325" max="13325" width="25.7109375" style="174" customWidth="1"/>
    <col min="13326" max="13326" width="11.28515625" style="174" customWidth="1"/>
    <col min="13327" max="13327" width="19.85546875" style="174" customWidth="1"/>
    <col min="13328" max="13328" width="27.7109375" style="174" customWidth="1"/>
    <col min="13329" max="13329" width="10.28515625" style="174" customWidth="1"/>
    <col min="13330" max="13566" width="9.140625" style="174"/>
    <col min="13567" max="13568" width="7.7109375" style="174" customWidth="1"/>
    <col min="13569" max="13569" width="7.28515625" style="174" customWidth="1"/>
    <col min="13570" max="13570" width="9.140625" style="174" customWidth="1"/>
    <col min="13571" max="13571" width="7" style="174" customWidth="1"/>
    <col min="13572" max="13572" width="7.85546875" style="174" customWidth="1"/>
    <col min="13573" max="13573" width="9.85546875" style="174" customWidth="1"/>
    <col min="13574" max="13574" width="10.140625" style="174" customWidth="1"/>
    <col min="13575" max="13575" width="9" style="174" customWidth="1"/>
    <col min="13576" max="13576" width="9.42578125" style="174" customWidth="1"/>
    <col min="13577" max="13577" width="8.5703125" style="174" customWidth="1"/>
    <col min="13578" max="13578" width="6.42578125" style="174" customWidth="1"/>
    <col min="13579" max="13579" width="9.140625" style="174" customWidth="1"/>
    <col min="13580" max="13580" width="22.28515625" style="174" customWidth="1"/>
    <col min="13581" max="13581" width="25.7109375" style="174" customWidth="1"/>
    <col min="13582" max="13582" width="11.28515625" style="174" customWidth="1"/>
    <col min="13583" max="13583" width="19.85546875" style="174" customWidth="1"/>
    <col min="13584" max="13584" width="27.7109375" style="174" customWidth="1"/>
    <col min="13585" max="13585" width="10.28515625" style="174" customWidth="1"/>
    <col min="13586" max="13822" width="9.140625" style="174"/>
    <col min="13823" max="13824" width="7.7109375" style="174" customWidth="1"/>
    <col min="13825" max="13825" width="7.28515625" style="174" customWidth="1"/>
    <col min="13826" max="13826" width="9.140625" style="174" customWidth="1"/>
    <col min="13827" max="13827" width="7" style="174" customWidth="1"/>
    <col min="13828" max="13828" width="7.85546875" style="174" customWidth="1"/>
    <col min="13829" max="13829" width="9.85546875" style="174" customWidth="1"/>
    <col min="13830" max="13830" width="10.140625" style="174" customWidth="1"/>
    <col min="13831" max="13831" width="9" style="174" customWidth="1"/>
    <col min="13832" max="13832" width="9.42578125" style="174" customWidth="1"/>
    <col min="13833" max="13833" width="8.5703125" style="174" customWidth="1"/>
    <col min="13834" max="13834" width="6.42578125" style="174" customWidth="1"/>
    <col min="13835" max="13835" width="9.140625" style="174" customWidth="1"/>
    <col min="13836" max="13836" width="22.28515625" style="174" customWidth="1"/>
    <col min="13837" max="13837" width="25.7109375" style="174" customWidth="1"/>
    <col min="13838" max="13838" width="11.28515625" style="174" customWidth="1"/>
    <col min="13839" max="13839" width="19.85546875" style="174" customWidth="1"/>
    <col min="13840" max="13840" width="27.7109375" style="174" customWidth="1"/>
    <col min="13841" max="13841" width="10.28515625" style="174" customWidth="1"/>
    <col min="13842" max="14078" width="9.140625" style="174"/>
    <col min="14079" max="14080" width="7.7109375" style="174" customWidth="1"/>
    <col min="14081" max="14081" width="7.28515625" style="174" customWidth="1"/>
    <col min="14082" max="14082" width="9.140625" style="174" customWidth="1"/>
    <col min="14083" max="14083" width="7" style="174" customWidth="1"/>
    <col min="14084" max="14084" width="7.85546875" style="174" customWidth="1"/>
    <col min="14085" max="14085" width="9.85546875" style="174" customWidth="1"/>
    <col min="14086" max="14086" width="10.140625" style="174" customWidth="1"/>
    <col min="14087" max="14087" width="9" style="174" customWidth="1"/>
    <col min="14088" max="14088" width="9.42578125" style="174" customWidth="1"/>
    <col min="14089" max="14089" width="8.5703125" style="174" customWidth="1"/>
    <col min="14090" max="14090" width="6.42578125" style="174" customWidth="1"/>
    <col min="14091" max="14091" width="9.140625" style="174" customWidth="1"/>
    <col min="14092" max="14092" width="22.28515625" style="174" customWidth="1"/>
    <col min="14093" max="14093" width="25.7109375" style="174" customWidth="1"/>
    <col min="14094" max="14094" width="11.28515625" style="174" customWidth="1"/>
    <col min="14095" max="14095" width="19.85546875" style="174" customWidth="1"/>
    <col min="14096" max="14096" width="27.7109375" style="174" customWidth="1"/>
    <col min="14097" max="14097" width="10.28515625" style="174" customWidth="1"/>
    <col min="14098" max="14334" width="9.140625" style="174"/>
    <col min="14335" max="14336" width="7.7109375" style="174" customWidth="1"/>
    <col min="14337" max="14337" width="7.28515625" style="174" customWidth="1"/>
    <col min="14338" max="14338" width="9.140625" style="174" customWidth="1"/>
    <col min="14339" max="14339" width="7" style="174" customWidth="1"/>
    <col min="14340" max="14340" width="7.85546875" style="174" customWidth="1"/>
    <col min="14341" max="14341" width="9.85546875" style="174" customWidth="1"/>
    <col min="14342" max="14342" width="10.140625" style="174" customWidth="1"/>
    <col min="14343" max="14343" width="9" style="174" customWidth="1"/>
    <col min="14344" max="14344" width="9.42578125" style="174" customWidth="1"/>
    <col min="14345" max="14345" width="8.5703125" style="174" customWidth="1"/>
    <col min="14346" max="14346" width="6.42578125" style="174" customWidth="1"/>
    <col min="14347" max="14347" width="9.140625" style="174" customWidth="1"/>
    <col min="14348" max="14348" width="22.28515625" style="174" customWidth="1"/>
    <col min="14349" max="14349" width="25.7109375" style="174" customWidth="1"/>
    <col min="14350" max="14350" width="11.28515625" style="174" customWidth="1"/>
    <col min="14351" max="14351" width="19.85546875" style="174" customWidth="1"/>
    <col min="14352" max="14352" width="27.7109375" style="174" customWidth="1"/>
    <col min="14353" max="14353" width="10.28515625" style="174" customWidth="1"/>
    <col min="14354" max="14590" width="9.140625" style="174"/>
    <col min="14591" max="14592" width="7.7109375" style="174" customWidth="1"/>
    <col min="14593" max="14593" width="7.28515625" style="174" customWidth="1"/>
    <col min="14594" max="14594" width="9.140625" style="174" customWidth="1"/>
    <col min="14595" max="14595" width="7" style="174" customWidth="1"/>
    <col min="14596" max="14596" width="7.85546875" style="174" customWidth="1"/>
    <col min="14597" max="14597" width="9.85546875" style="174" customWidth="1"/>
    <col min="14598" max="14598" width="10.140625" style="174" customWidth="1"/>
    <col min="14599" max="14599" width="9" style="174" customWidth="1"/>
    <col min="14600" max="14600" width="9.42578125" style="174" customWidth="1"/>
    <col min="14601" max="14601" width="8.5703125" style="174" customWidth="1"/>
    <col min="14602" max="14602" width="6.42578125" style="174" customWidth="1"/>
    <col min="14603" max="14603" width="9.140625" style="174" customWidth="1"/>
    <col min="14604" max="14604" width="22.28515625" style="174" customWidth="1"/>
    <col min="14605" max="14605" width="25.7109375" style="174" customWidth="1"/>
    <col min="14606" max="14606" width="11.28515625" style="174" customWidth="1"/>
    <col min="14607" max="14607" width="19.85546875" style="174" customWidth="1"/>
    <col min="14608" max="14608" width="27.7109375" style="174" customWidth="1"/>
    <col min="14609" max="14609" width="10.28515625" style="174" customWidth="1"/>
    <col min="14610" max="14846" width="9.140625" style="174"/>
    <col min="14847" max="14848" width="7.7109375" style="174" customWidth="1"/>
    <col min="14849" max="14849" width="7.28515625" style="174" customWidth="1"/>
    <col min="14850" max="14850" width="9.140625" style="174" customWidth="1"/>
    <col min="14851" max="14851" width="7" style="174" customWidth="1"/>
    <col min="14852" max="14852" width="7.85546875" style="174" customWidth="1"/>
    <col min="14853" max="14853" width="9.85546875" style="174" customWidth="1"/>
    <col min="14854" max="14854" width="10.140625" style="174" customWidth="1"/>
    <col min="14855" max="14855" width="9" style="174" customWidth="1"/>
    <col min="14856" max="14856" width="9.42578125" style="174" customWidth="1"/>
    <col min="14857" max="14857" width="8.5703125" style="174" customWidth="1"/>
    <col min="14858" max="14858" width="6.42578125" style="174" customWidth="1"/>
    <col min="14859" max="14859" width="9.140625" style="174" customWidth="1"/>
    <col min="14860" max="14860" width="22.28515625" style="174" customWidth="1"/>
    <col min="14861" max="14861" width="25.7109375" style="174" customWidth="1"/>
    <col min="14862" max="14862" width="11.28515625" style="174" customWidth="1"/>
    <col min="14863" max="14863" width="19.85546875" style="174" customWidth="1"/>
    <col min="14864" max="14864" width="27.7109375" style="174" customWidth="1"/>
    <col min="14865" max="14865" width="10.28515625" style="174" customWidth="1"/>
    <col min="14866" max="15102" width="9.140625" style="174"/>
    <col min="15103" max="15104" width="7.7109375" style="174" customWidth="1"/>
    <col min="15105" max="15105" width="7.28515625" style="174" customWidth="1"/>
    <col min="15106" max="15106" width="9.140625" style="174" customWidth="1"/>
    <col min="15107" max="15107" width="7" style="174" customWidth="1"/>
    <col min="15108" max="15108" width="7.85546875" style="174" customWidth="1"/>
    <col min="15109" max="15109" width="9.85546875" style="174" customWidth="1"/>
    <col min="15110" max="15110" width="10.140625" style="174" customWidth="1"/>
    <col min="15111" max="15111" width="9" style="174" customWidth="1"/>
    <col min="15112" max="15112" width="9.42578125" style="174" customWidth="1"/>
    <col min="15113" max="15113" width="8.5703125" style="174" customWidth="1"/>
    <col min="15114" max="15114" width="6.42578125" style="174" customWidth="1"/>
    <col min="15115" max="15115" width="9.140625" style="174" customWidth="1"/>
    <col min="15116" max="15116" width="22.28515625" style="174" customWidth="1"/>
    <col min="15117" max="15117" width="25.7109375" style="174" customWidth="1"/>
    <col min="15118" max="15118" width="11.28515625" style="174" customWidth="1"/>
    <col min="15119" max="15119" width="19.85546875" style="174" customWidth="1"/>
    <col min="15120" max="15120" width="27.7109375" style="174" customWidth="1"/>
    <col min="15121" max="15121" width="10.28515625" style="174" customWidth="1"/>
    <col min="15122" max="15358" width="9.140625" style="174"/>
    <col min="15359" max="15360" width="7.7109375" style="174" customWidth="1"/>
    <col min="15361" max="15361" width="7.28515625" style="174" customWidth="1"/>
    <col min="15362" max="15362" width="9.140625" style="174" customWidth="1"/>
    <col min="15363" max="15363" width="7" style="174" customWidth="1"/>
    <col min="15364" max="15364" width="7.85546875" style="174" customWidth="1"/>
    <col min="15365" max="15365" width="9.85546875" style="174" customWidth="1"/>
    <col min="15366" max="15366" width="10.140625" style="174" customWidth="1"/>
    <col min="15367" max="15367" width="9" style="174" customWidth="1"/>
    <col min="15368" max="15368" width="9.42578125" style="174" customWidth="1"/>
    <col min="15369" max="15369" width="8.5703125" style="174" customWidth="1"/>
    <col min="15370" max="15370" width="6.42578125" style="174" customWidth="1"/>
    <col min="15371" max="15371" width="9.140625" style="174" customWidth="1"/>
    <col min="15372" max="15372" width="22.28515625" style="174" customWidth="1"/>
    <col min="15373" max="15373" width="25.7109375" style="174" customWidth="1"/>
    <col min="15374" max="15374" width="11.28515625" style="174" customWidth="1"/>
    <col min="15375" max="15375" width="19.85546875" style="174" customWidth="1"/>
    <col min="15376" max="15376" width="27.7109375" style="174" customWidth="1"/>
    <col min="15377" max="15377" width="10.28515625" style="174" customWidth="1"/>
    <col min="15378" max="15614" width="9.140625" style="174"/>
    <col min="15615" max="15616" width="7.7109375" style="174" customWidth="1"/>
    <col min="15617" max="15617" width="7.28515625" style="174" customWidth="1"/>
    <col min="15618" max="15618" width="9.140625" style="174" customWidth="1"/>
    <col min="15619" max="15619" width="7" style="174" customWidth="1"/>
    <col min="15620" max="15620" width="7.85546875" style="174" customWidth="1"/>
    <col min="15621" max="15621" width="9.85546875" style="174" customWidth="1"/>
    <col min="15622" max="15622" width="10.140625" style="174" customWidth="1"/>
    <col min="15623" max="15623" width="9" style="174" customWidth="1"/>
    <col min="15624" max="15624" width="9.42578125" style="174" customWidth="1"/>
    <col min="15625" max="15625" width="8.5703125" style="174" customWidth="1"/>
    <col min="15626" max="15626" width="6.42578125" style="174" customWidth="1"/>
    <col min="15627" max="15627" width="9.140625" style="174" customWidth="1"/>
    <col min="15628" max="15628" width="22.28515625" style="174" customWidth="1"/>
    <col min="15629" max="15629" width="25.7109375" style="174" customWidth="1"/>
    <col min="15630" max="15630" width="11.28515625" style="174" customWidth="1"/>
    <col min="15631" max="15631" width="19.85546875" style="174" customWidth="1"/>
    <col min="15632" max="15632" width="27.7109375" style="174" customWidth="1"/>
    <col min="15633" max="15633" width="10.28515625" style="174" customWidth="1"/>
    <col min="15634" max="15870" width="9.140625" style="174"/>
    <col min="15871" max="15872" width="7.7109375" style="174" customWidth="1"/>
    <col min="15873" max="15873" width="7.28515625" style="174" customWidth="1"/>
    <col min="15874" max="15874" width="9.140625" style="174" customWidth="1"/>
    <col min="15875" max="15875" width="7" style="174" customWidth="1"/>
    <col min="15876" max="15876" width="7.85546875" style="174" customWidth="1"/>
    <col min="15877" max="15877" width="9.85546875" style="174" customWidth="1"/>
    <col min="15878" max="15878" width="10.140625" style="174" customWidth="1"/>
    <col min="15879" max="15879" width="9" style="174" customWidth="1"/>
    <col min="15880" max="15880" width="9.42578125" style="174" customWidth="1"/>
    <col min="15881" max="15881" width="8.5703125" style="174" customWidth="1"/>
    <col min="15882" max="15882" width="6.42578125" style="174" customWidth="1"/>
    <col min="15883" max="15883" width="9.140625" style="174" customWidth="1"/>
    <col min="15884" max="15884" width="22.28515625" style="174" customWidth="1"/>
    <col min="15885" max="15885" width="25.7109375" style="174" customWidth="1"/>
    <col min="15886" max="15886" width="11.28515625" style="174" customWidth="1"/>
    <col min="15887" max="15887" width="19.85546875" style="174" customWidth="1"/>
    <col min="15888" max="15888" width="27.7109375" style="174" customWidth="1"/>
    <col min="15889" max="15889" width="10.28515625" style="174" customWidth="1"/>
    <col min="15890" max="16126" width="9.140625" style="174"/>
    <col min="16127" max="16128" width="7.7109375" style="174" customWidth="1"/>
    <col min="16129" max="16129" width="7.28515625" style="174" customWidth="1"/>
    <col min="16130" max="16130" width="9.140625" style="174" customWidth="1"/>
    <col min="16131" max="16131" width="7" style="174" customWidth="1"/>
    <col min="16132" max="16132" width="7.85546875" style="174" customWidth="1"/>
    <col min="16133" max="16133" width="9.85546875" style="174" customWidth="1"/>
    <col min="16134" max="16134" width="10.140625" style="174" customWidth="1"/>
    <col min="16135" max="16135" width="9" style="174" customWidth="1"/>
    <col min="16136" max="16136" width="9.42578125" style="174" customWidth="1"/>
    <col min="16137" max="16137" width="8.5703125" style="174" customWidth="1"/>
    <col min="16138" max="16138" width="6.42578125" style="174" customWidth="1"/>
    <col min="16139" max="16139" width="9.140625" style="174" customWidth="1"/>
    <col min="16140" max="16140" width="22.28515625" style="174" customWidth="1"/>
    <col min="16141" max="16141" width="25.7109375" style="174" customWidth="1"/>
    <col min="16142" max="16142" width="11.28515625" style="174" customWidth="1"/>
    <col min="16143" max="16143" width="19.85546875" style="174" customWidth="1"/>
    <col min="16144" max="16144" width="27.7109375" style="174" customWidth="1"/>
    <col min="16145" max="16145" width="10.28515625" style="174" customWidth="1"/>
    <col min="16146" max="16384" width="9.140625" style="174"/>
  </cols>
  <sheetData>
    <row r="1" spans="1:28" ht="15" customHeight="1">
      <c r="A1" s="2947"/>
      <c r="B1" s="2948"/>
      <c r="C1" s="2379" t="s">
        <v>135</v>
      </c>
      <c r="D1" s="2380"/>
      <c r="E1" s="2380"/>
      <c r="F1" s="2380"/>
      <c r="G1" s="2380"/>
      <c r="H1" s="2380"/>
      <c r="I1" s="2380"/>
      <c r="J1" s="2381"/>
      <c r="K1" s="169"/>
      <c r="L1" s="170"/>
      <c r="M1" s="171"/>
      <c r="N1" s="171"/>
      <c r="O1" s="172"/>
      <c r="P1" s="171"/>
      <c r="Q1" s="173"/>
    </row>
    <row r="2" spans="1:28" s="179" customFormat="1" ht="15" customHeight="1">
      <c r="A2" s="2949"/>
      <c r="B2" s="2950"/>
      <c r="C2" s="2953" t="s">
        <v>136</v>
      </c>
      <c r="D2" s="2954"/>
      <c r="E2" s="2954"/>
      <c r="F2" s="2954"/>
      <c r="G2" s="2954"/>
      <c r="H2" s="2954"/>
      <c r="I2" s="2954"/>
      <c r="J2" s="2955"/>
      <c r="K2" s="175"/>
      <c r="L2" s="176"/>
      <c r="M2" s="176"/>
      <c r="N2" s="176"/>
      <c r="O2" s="177"/>
      <c r="P2" s="176"/>
      <c r="Q2" s="178"/>
    </row>
    <row r="3" spans="1:28" ht="15" customHeight="1">
      <c r="A3" s="2949"/>
      <c r="B3" s="2950"/>
      <c r="C3" s="2382" t="s">
        <v>588</v>
      </c>
      <c r="D3" s="2383"/>
      <c r="E3" s="2383"/>
      <c r="F3" s="2383"/>
      <c r="G3" s="2383"/>
      <c r="H3" s="2383"/>
      <c r="I3" s="2383"/>
      <c r="J3" s="2384"/>
      <c r="K3" s="169"/>
      <c r="L3" s="170"/>
      <c r="M3" s="171"/>
      <c r="N3" s="171"/>
      <c r="O3" s="172"/>
      <c r="P3" s="171"/>
      <c r="Q3" s="173"/>
    </row>
    <row r="4" spans="1:28" ht="12.95" customHeight="1">
      <c r="A4" s="2949"/>
      <c r="B4" s="2950"/>
      <c r="C4" s="2956" t="s">
        <v>810</v>
      </c>
      <c r="D4" s="2956"/>
      <c r="E4" s="2956"/>
      <c r="F4" s="2956"/>
      <c r="G4" s="2956"/>
      <c r="H4" s="2956" t="s">
        <v>811</v>
      </c>
      <c r="I4" s="2956"/>
      <c r="J4" s="2956"/>
      <c r="K4" s="169"/>
      <c r="L4" s="170" t="s">
        <v>597</v>
      </c>
      <c r="M4" s="169" t="s">
        <v>599</v>
      </c>
      <c r="N4" s="180"/>
      <c r="O4" s="169"/>
      <c r="P4" s="181"/>
    </row>
    <row r="5" spans="1:28" ht="12.95" customHeight="1">
      <c r="A5" s="2951"/>
      <c r="B5" s="2952"/>
      <c r="C5" s="2388" t="s">
        <v>804</v>
      </c>
      <c r="D5" s="2389"/>
      <c r="E5" s="2389"/>
      <c r="F5" s="2389"/>
      <c r="G5" s="2389"/>
      <c r="H5" s="2389"/>
      <c r="I5" s="2389"/>
      <c r="J5" s="2390"/>
      <c r="K5" s="169"/>
      <c r="L5" s="170" t="s">
        <v>598</v>
      </c>
      <c r="M5" s="169" t="s">
        <v>600</v>
      </c>
      <c r="N5" s="180"/>
      <c r="O5" s="169"/>
      <c r="P5" s="181"/>
    </row>
    <row r="6" spans="1:28" ht="14.1" customHeight="1">
      <c r="A6" s="75" t="s">
        <v>5</v>
      </c>
      <c r="B6" s="2957" t="str">
        <f>IF('Gradacion '!E6="","",+'Gradacion '!E6)</f>
        <v/>
      </c>
      <c r="C6" s="2957"/>
      <c r="D6" s="2957"/>
      <c r="E6" s="2957"/>
      <c r="F6" s="2957"/>
      <c r="G6" s="1370" t="s">
        <v>324</v>
      </c>
      <c r="H6" s="2959"/>
      <c r="I6" s="2959"/>
      <c r="J6" s="2960"/>
      <c r="K6" s="169"/>
      <c r="L6" s="170"/>
      <c r="M6" s="169"/>
      <c r="N6" s="180"/>
      <c r="O6" s="169"/>
      <c r="P6" s="181"/>
    </row>
    <row r="7" spans="1:28" ht="14.1" customHeight="1">
      <c r="A7" s="1376" t="s">
        <v>39</v>
      </c>
      <c r="B7" s="1375" t="str">
        <f>IF('Gradacion '!E7="","",+'Gradacion '!E7)</f>
        <v/>
      </c>
      <c r="C7" s="2894" t="s">
        <v>18</v>
      </c>
      <c r="D7" s="2894"/>
      <c r="E7" s="2958" t="str">
        <f>IF('Gradacion '!O7="","",'Gradacion '!O7)</f>
        <v/>
      </c>
      <c r="F7" s="2958"/>
      <c r="G7" s="1374" t="s">
        <v>40</v>
      </c>
      <c r="H7" s="2402" t="str">
        <f>IF('Gradacion '!AB7="","",+'Gradacion '!AB7)</f>
        <v/>
      </c>
      <c r="I7" s="2402"/>
      <c r="J7" s="2491"/>
      <c r="K7" s="169"/>
      <c r="L7" s="170"/>
      <c r="M7" s="169"/>
      <c r="N7" s="180"/>
      <c r="O7" s="169"/>
      <c r="P7" s="181"/>
    </row>
    <row r="8" spans="1:28" ht="14.1" customHeight="1">
      <c r="A8" s="1376" t="s">
        <v>465</v>
      </c>
      <c r="B8" s="1375" t="str">
        <f>IF('Gradacion '!E8="","",+'Gradacion '!E8)</f>
        <v/>
      </c>
      <c r="C8" s="2894" t="s">
        <v>19</v>
      </c>
      <c r="D8" s="2894"/>
      <c r="E8" s="2958" t="str">
        <f>IF('Gradacion '!O8="","",'Gradacion '!O8)</f>
        <v/>
      </c>
      <c r="F8" s="2958"/>
      <c r="G8" s="1374" t="s">
        <v>407</v>
      </c>
      <c r="H8" s="2492"/>
      <c r="I8" s="2492"/>
      <c r="J8" s="2493"/>
      <c r="O8" s="169"/>
      <c r="P8" s="181"/>
    </row>
    <row r="9" spans="1:28" ht="14.1" customHeight="1">
      <c r="A9" s="1377" t="s">
        <v>6</v>
      </c>
      <c r="B9" s="2958" t="str">
        <f>IF('Gradacion '!E9="","",+'Gradacion '!E9)</f>
        <v/>
      </c>
      <c r="C9" s="2958"/>
      <c r="D9" s="2958"/>
      <c r="E9" s="2958"/>
      <c r="F9" s="2958"/>
      <c r="G9" s="1374" t="s">
        <v>633</v>
      </c>
      <c r="H9" s="2402" t="str">
        <f>IF('Gradacion '!AB9="","",+'Gradacion '!AB9)</f>
        <v/>
      </c>
      <c r="I9" s="2402"/>
      <c r="J9" s="2491"/>
      <c r="K9" s="169"/>
      <c r="P9" s="181"/>
    </row>
    <row r="10" spans="1:28" ht="8.1" customHeight="1">
      <c r="A10" s="574"/>
      <c r="B10" s="575"/>
      <c r="C10" s="576"/>
      <c r="D10" s="576"/>
      <c r="E10" s="576"/>
      <c r="F10" s="576"/>
      <c r="G10" s="576"/>
      <c r="H10" s="576"/>
      <c r="I10" s="576"/>
      <c r="J10" s="577"/>
      <c r="K10" s="169"/>
      <c r="P10" s="181"/>
    </row>
    <row r="11" spans="1:28" ht="27" customHeight="1">
      <c r="A11" s="578"/>
      <c r="B11" s="579"/>
      <c r="C11" s="580"/>
      <c r="D11" s="2903" t="s">
        <v>612</v>
      </c>
      <c r="E11" s="2904"/>
      <c r="F11" s="2904"/>
      <c r="G11" s="2905" t="s">
        <v>613</v>
      </c>
      <c r="H11" s="2906"/>
      <c r="I11" s="581"/>
      <c r="J11" s="582"/>
      <c r="K11" s="182"/>
      <c r="P11" s="183"/>
      <c r="Q11" s="182"/>
      <c r="R11" s="182"/>
    </row>
    <row r="12" spans="1:28" ht="15.95" customHeight="1">
      <c r="A12" s="583"/>
      <c r="B12" s="854"/>
      <c r="C12" s="855"/>
      <c r="D12" s="2891"/>
      <c r="E12" s="2892"/>
      <c r="F12" s="2893"/>
      <c r="G12" s="2891"/>
      <c r="H12" s="2893"/>
      <c r="I12" s="579"/>
      <c r="J12" s="584"/>
      <c r="K12" s="182"/>
      <c r="M12" s="184"/>
      <c r="N12" s="185"/>
      <c r="O12" s="186"/>
      <c r="P12" s="187"/>
    </row>
    <row r="13" spans="1:28" ht="15.95" customHeight="1">
      <c r="A13" s="583"/>
      <c r="B13" s="14" t="s">
        <v>397</v>
      </c>
      <c r="C13" s="844" t="s">
        <v>167</v>
      </c>
      <c r="D13" s="850">
        <v>1</v>
      </c>
      <c r="E13" s="851">
        <v>2</v>
      </c>
      <c r="F13" s="851">
        <v>3</v>
      </c>
      <c r="G13" s="852">
        <v>1</v>
      </c>
      <c r="H13" s="853">
        <v>2</v>
      </c>
      <c r="I13" s="579"/>
      <c r="J13" s="584"/>
      <c r="K13" s="182"/>
      <c r="M13" s="184"/>
      <c r="N13" s="185"/>
      <c r="O13" s="186"/>
      <c r="P13" s="187"/>
    </row>
    <row r="14" spans="1:28" ht="15.95" customHeight="1">
      <c r="A14" s="583"/>
      <c r="B14" s="217" t="s">
        <v>404</v>
      </c>
      <c r="C14" s="219" t="s">
        <v>167</v>
      </c>
      <c r="D14" s="845"/>
      <c r="E14" s="846"/>
      <c r="F14" s="847"/>
      <c r="G14" s="848"/>
      <c r="H14" s="849"/>
      <c r="I14" s="2896"/>
      <c r="J14" s="601"/>
      <c r="K14" s="188"/>
      <c r="L14" s="2945" t="s">
        <v>137</v>
      </c>
      <c r="M14" s="2945"/>
      <c r="N14" s="2945"/>
      <c r="O14" s="2945" t="s">
        <v>138</v>
      </c>
      <c r="P14" s="2945"/>
      <c r="Q14" s="2945"/>
      <c r="R14" s="189"/>
      <c r="S14" s="182"/>
      <c r="T14" s="190"/>
      <c r="U14" s="2946"/>
      <c r="V14" s="2946"/>
      <c r="W14" s="2946"/>
      <c r="X14" s="2946"/>
      <c r="Y14" s="2946"/>
      <c r="Z14" s="2946"/>
      <c r="AA14" s="191"/>
      <c r="AB14" s="188"/>
    </row>
    <row r="15" spans="1:28" ht="15.95" customHeight="1">
      <c r="A15" s="583"/>
      <c r="B15" s="217" t="s">
        <v>403</v>
      </c>
      <c r="C15" s="219" t="s">
        <v>167</v>
      </c>
      <c r="D15" s="6"/>
      <c r="E15" s="7"/>
      <c r="F15" s="8"/>
      <c r="G15" s="6"/>
      <c r="H15" s="12"/>
      <c r="I15" s="2896"/>
      <c r="J15" s="601"/>
      <c r="K15" s="192"/>
      <c r="L15" s="375">
        <f>+MAX(G19:H19)</f>
        <v>0</v>
      </c>
      <c r="M15" s="376" t="s">
        <v>139</v>
      </c>
      <c r="N15" s="377">
        <f>STDEVA(L15:L16)</f>
        <v>0</v>
      </c>
      <c r="O15" s="375" t="str">
        <f>+D19</f>
        <v/>
      </c>
      <c r="P15" s="376" t="s">
        <v>139</v>
      </c>
      <c r="Q15" s="378">
        <f>STDEVA(O15:O17)</f>
        <v>0</v>
      </c>
      <c r="R15" s="193"/>
      <c r="S15" s="182"/>
      <c r="T15" s="194"/>
      <c r="U15" s="192"/>
      <c r="V15" s="192"/>
      <c r="W15" s="192"/>
      <c r="X15" s="195"/>
      <c r="Y15" s="195"/>
      <c r="Z15" s="195"/>
      <c r="AA15" s="195"/>
      <c r="AB15" s="192"/>
    </row>
    <row r="16" spans="1:28" ht="15.95" customHeight="1">
      <c r="A16" s="583"/>
      <c r="B16" s="217" t="s">
        <v>402</v>
      </c>
      <c r="C16" s="219" t="s">
        <v>91</v>
      </c>
      <c r="D16" s="9"/>
      <c r="E16" s="10"/>
      <c r="F16" s="11"/>
      <c r="G16" s="9"/>
      <c r="H16" s="13"/>
      <c r="I16" s="2896"/>
      <c r="J16" s="602"/>
      <c r="K16" s="192"/>
      <c r="L16" s="379">
        <f>+MIN(G19:H19)</f>
        <v>0</v>
      </c>
      <c r="M16" s="376" t="s">
        <v>140</v>
      </c>
      <c r="N16" s="380">
        <f>1.96*SQRT(2)*N15</f>
        <v>0</v>
      </c>
      <c r="O16" s="379" t="str">
        <f>+E19</f>
        <v/>
      </c>
      <c r="P16" s="376" t="s">
        <v>140</v>
      </c>
      <c r="Q16" s="381">
        <f>1.96*SQRT(2)*Q15</f>
        <v>0</v>
      </c>
      <c r="R16" s="196"/>
      <c r="S16" s="182"/>
      <c r="T16" s="194"/>
      <c r="U16" s="192"/>
      <c r="V16" s="192"/>
      <c r="W16" s="192"/>
      <c r="X16" s="192"/>
      <c r="Y16" s="192"/>
      <c r="Z16" s="192"/>
      <c r="AA16" s="192"/>
      <c r="AB16" s="192"/>
    </row>
    <row r="17" spans="1:28" ht="15.95" customHeight="1">
      <c r="A17" s="583"/>
      <c r="B17" s="217" t="s">
        <v>401</v>
      </c>
      <c r="C17" s="219" t="s">
        <v>91</v>
      </c>
      <c r="D17" s="9"/>
      <c r="E17" s="10"/>
      <c r="F17" s="11"/>
      <c r="G17" s="9"/>
      <c r="H17" s="13"/>
      <c r="I17" s="2896"/>
      <c r="J17" s="602"/>
      <c r="K17" s="197"/>
      <c r="L17" s="382">
        <f>+L15-L16</f>
        <v>0</v>
      </c>
      <c r="M17" s="376" t="s">
        <v>141</v>
      </c>
      <c r="N17" s="383"/>
      <c r="O17" s="382" t="str">
        <f>+F19</f>
        <v/>
      </c>
      <c r="P17" s="376" t="s">
        <v>141</v>
      </c>
      <c r="Q17" s="383"/>
      <c r="R17" s="185"/>
      <c r="S17" s="182"/>
      <c r="T17" s="194"/>
      <c r="U17" s="197"/>
      <c r="V17" s="197"/>
      <c r="W17" s="197"/>
      <c r="X17" s="197"/>
      <c r="Y17" s="197"/>
      <c r="Z17" s="197"/>
      <c r="AA17" s="197"/>
      <c r="AB17" s="197"/>
    </row>
    <row r="18" spans="1:28" ht="15.95" customHeight="1" thickBot="1">
      <c r="A18" s="583"/>
      <c r="B18" s="217" t="s">
        <v>400</v>
      </c>
      <c r="C18" s="219" t="s">
        <v>91</v>
      </c>
      <c r="D18" s="9"/>
      <c r="E18" s="10"/>
      <c r="F18" s="11"/>
      <c r="G18" s="9"/>
      <c r="H18" s="13"/>
      <c r="I18" s="2896"/>
      <c r="J18" s="602"/>
      <c r="K18" s="197"/>
      <c r="L18" s="384" t="str">
        <f>+IF(L17&gt;N16,"REPETIR ENSAYO","ENSAYO OK")</f>
        <v>ENSAYO OK</v>
      </c>
      <c r="M18" s="385"/>
      <c r="N18" s="386"/>
      <c r="O18" s="387" t="e">
        <f>AVERAGE(O15:O17)</f>
        <v>#DIV/0!</v>
      </c>
      <c r="P18" s="388"/>
      <c r="Q18" s="389"/>
      <c r="R18" s="185"/>
      <c r="S18" s="182"/>
      <c r="T18" s="194"/>
      <c r="U18" s="197"/>
      <c r="V18" s="197"/>
      <c r="W18" s="197"/>
      <c r="X18" s="197"/>
      <c r="Y18" s="197"/>
      <c r="Z18" s="197"/>
      <c r="AA18" s="197"/>
      <c r="AB18" s="197"/>
    </row>
    <row r="19" spans="1:28" ht="15.95" customHeight="1">
      <c r="A19" s="583"/>
      <c r="B19" s="218" t="s">
        <v>399</v>
      </c>
      <c r="C19" s="220" t="s">
        <v>95</v>
      </c>
      <c r="D19" s="221" t="str">
        <f>+IF(D16="","",((D16-D17)/(D17-D18))*100)</f>
        <v/>
      </c>
      <c r="E19" s="222" t="str">
        <f>+IF(E16="","",((E16-E17)/(E17-E18))*100)</f>
        <v/>
      </c>
      <c r="F19" s="223" t="str">
        <f>+IF(F16="","",((F16-F17)/(F17-F18))*100)</f>
        <v/>
      </c>
      <c r="G19" s="221" t="str">
        <f>+IF(G16="","",((G16-G17)/(G17-G18))*100)</f>
        <v/>
      </c>
      <c r="H19" s="223" t="str">
        <f>+IF(H16="","",((H16-H17)/(H17-H18))*100)</f>
        <v/>
      </c>
      <c r="I19" s="590"/>
      <c r="J19" s="591"/>
      <c r="K19" s="197"/>
      <c r="L19" s="390" t="s">
        <v>142</v>
      </c>
      <c r="M19" s="391" t="s">
        <v>143</v>
      </c>
      <c r="N19" s="392"/>
      <c r="O19" s="393">
        <f>MAX(O15:O17)-MIN(O15:O17)</f>
        <v>0</v>
      </c>
      <c r="P19" s="394"/>
      <c r="Q19" s="394"/>
      <c r="R19" s="185"/>
      <c r="S19" s="182"/>
      <c r="T19" s="194"/>
      <c r="U19" s="197"/>
      <c r="V19" s="197"/>
      <c r="W19" s="197"/>
      <c r="X19" s="197"/>
      <c r="Y19" s="197"/>
      <c r="Z19" s="197"/>
      <c r="AA19" s="197"/>
      <c r="AB19" s="197"/>
    </row>
    <row r="20" spans="1:28" ht="8.1" customHeight="1" thickBot="1">
      <c r="A20" s="583"/>
      <c r="B20" s="585"/>
      <c r="C20" s="585"/>
      <c r="D20" s="592"/>
      <c r="E20" s="592"/>
      <c r="F20" s="592"/>
      <c r="G20" s="593"/>
      <c r="H20" s="593"/>
      <c r="I20" s="590"/>
      <c r="J20" s="591"/>
      <c r="K20" s="198"/>
      <c r="L20" s="395" t="s">
        <v>144</v>
      </c>
      <c r="M20" s="396" t="str">
        <f>+IF(M19="SI","SI","NO")</f>
        <v>NO</v>
      </c>
      <c r="N20" s="392"/>
      <c r="O20" s="397" t="str">
        <f>+IF(O19&gt;Q16,"REPETIR ENSAYO","ENSAYO OK")</f>
        <v>ENSAYO OK</v>
      </c>
      <c r="P20" s="394"/>
      <c r="Q20" s="394"/>
      <c r="R20" s="199"/>
      <c r="S20" s="182"/>
      <c r="T20" s="194"/>
      <c r="U20" s="198"/>
      <c r="V20" s="198"/>
      <c r="W20" s="198"/>
      <c r="X20" s="198"/>
      <c r="Y20" s="198"/>
      <c r="Z20" s="198"/>
      <c r="AA20" s="198"/>
      <c r="AB20" s="198"/>
    </row>
    <row r="21" spans="1:28" ht="15.95" customHeight="1">
      <c r="A21" s="583"/>
      <c r="B21" s="399"/>
      <c r="C21" s="399"/>
      <c r="D21" s="2897" t="s">
        <v>796</v>
      </c>
      <c r="E21" s="2898"/>
      <c r="F21" s="2898"/>
      <c r="G21" s="224" t="str">
        <f>IF(B7="","",IF(D16="","N.L.",(D19+((25-D14)*(E19-D19))/(E14-D14))))</f>
        <v/>
      </c>
      <c r="H21" s="226" t="s">
        <v>95</v>
      </c>
      <c r="I21" s="399"/>
      <c r="J21" s="594"/>
      <c r="K21" s="200"/>
      <c r="L21" s="392"/>
      <c r="M21" s="398"/>
      <c r="N21" s="392"/>
      <c r="O21" s="392"/>
      <c r="P21" s="399"/>
      <c r="Q21" s="399"/>
      <c r="R21" s="182"/>
      <c r="S21" s="201"/>
      <c r="T21" s="200"/>
      <c r="U21" s="200"/>
      <c r="V21" s="200"/>
      <c r="W21" s="200"/>
      <c r="X21" s="182"/>
      <c r="Y21" s="202"/>
      <c r="Z21" s="202"/>
      <c r="AA21" s="202"/>
      <c r="AB21" s="202"/>
    </row>
    <row r="22" spans="1:28" ht="15.95" customHeight="1">
      <c r="A22" s="801" t="s">
        <v>145</v>
      </c>
      <c r="B22" s="399"/>
      <c r="C22" s="399"/>
      <c r="D22" s="2899" t="s">
        <v>797</v>
      </c>
      <c r="E22" s="2900"/>
      <c r="F22" s="2900"/>
      <c r="G22" s="225" t="str">
        <f>IF(B7="","",IF(G16="","N.P.",AVERAGE(G19:H19)))</f>
        <v/>
      </c>
      <c r="H22" s="227" t="s">
        <v>95</v>
      </c>
      <c r="I22" s="399"/>
      <c r="J22" s="595"/>
      <c r="L22" s="392"/>
      <c r="M22" s="392"/>
      <c r="N22" s="399"/>
      <c r="O22" s="392"/>
      <c r="P22" s="392"/>
      <c r="Q22" s="392"/>
      <c r="S22" s="203"/>
      <c r="T22" s="203"/>
      <c r="U22" s="204"/>
      <c r="V22" s="203"/>
      <c r="W22" s="204"/>
      <c r="X22" s="203"/>
      <c r="Y22" s="203"/>
      <c r="Z22" s="203"/>
      <c r="AA22" s="205"/>
      <c r="AB22" s="206"/>
    </row>
    <row r="23" spans="1:28" ht="15.95" customHeight="1">
      <c r="A23" s="583"/>
      <c r="B23" s="399"/>
      <c r="C23" s="399"/>
      <c r="D23" s="2901" t="s">
        <v>333</v>
      </c>
      <c r="E23" s="2902"/>
      <c r="F23" s="2902"/>
      <c r="G23" s="72" t="str">
        <f>IF(G21="","",IF(D16="","N.P",G21-G22))</f>
        <v/>
      </c>
      <c r="H23" s="228" t="s">
        <v>95</v>
      </c>
      <c r="I23" s="399"/>
      <c r="J23" s="595"/>
      <c r="L23" s="400" t="s">
        <v>146</v>
      </c>
      <c r="M23" s="392"/>
      <c r="N23" s="392"/>
      <c r="O23" s="392"/>
      <c r="P23" s="392"/>
      <c r="Q23" s="392"/>
      <c r="S23" s="203"/>
      <c r="T23" s="203"/>
      <c r="U23" s="204"/>
      <c r="V23" s="203"/>
      <c r="W23" s="201"/>
      <c r="X23" s="203"/>
      <c r="Y23" s="203"/>
      <c r="Z23" s="203"/>
      <c r="AA23" s="2930"/>
      <c r="AB23" s="2930"/>
    </row>
    <row r="24" spans="1:28" ht="12" customHeight="1">
      <c r="A24" s="583"/>
      <c r="B24" s="586"/>
      <c r="C24" s="586"/>
      <c r="D24" s="586"/>
      <c r="E24" s="586"/>
      <c r="F24" s="586"/>
      <c r="G24" s="579"/>
      <c r="H24" s="579"/>
      <c r="I24" s="803"/>
      <c r="J24" s="595"/>
      <c r="L24" s="392"/>
      <c r="M24" s="392"/>
      <c r="N24" s="392"/>
      <c r="O24" s="392"/>
      <c r="P24" s="392"/>
      <c r="Q24" s="392"/>
      <c r="S24" s="203"/>
      <c r="T24" s="203"/>
      <c r="U24" s="207"/>
      <c r="V24" s="203"/>
      <c r="W24" s="201"/>
      <c r="X24" s="203"/>
      <c r="Y24" s="203"/>
      <c r="Z24" s="203"/>
      <c r="AA24" s="2930"/>
      <c r="AB24" s="2930"/>
    </row>
    <row r="25" spans="1:28" ht="12" customHeight="1">
      <c r="A25" s="801"/>
      <c r="B25" s="802"/>
      <c r="C25" s="587"/>
      <c r="D25" s="587"/>
      <c r="E25" s="587"/>
      <c r="F25" s="587"/>
      <c r="G25" s="586"/>
      <c r="H25" s="586"/>
      <c r="I25" s="2942"/>
      <c r="J25" s="2943"/>
      <c r="L25" s="2897" t="s">
        <v>398</v>
      </c>
      <c r="M25" s="2898"/>
      <c r="N25" s="2898"/>
      <c r="O25" s="401" t="e">
        <f>ROUND(AVERAGE(D19:F19),0)</f>
        <v>#DIV/0!</v>
      </c>
      <c r="P25" s="226" t="s">
        <v>95</v>
      </c>
      <c r="Q25" s="399"/>
      <c r="R25" s="182"/>
      <c r="S25" s="208"/>
      <c r="T25" s="208"/>
      <c r="U25" s="209"/>
      <c r="V25" s="209"/>
      <c r="W25" s="210"/>
      <c r="X25" s="203"/>
      <c r="Y25" s="203"/>
      <c r="Z25" s="203"/>
      <c r="AA25" s="2930"/>
      <c r="AB25" s="2930"/>
    </row>
    <row r="26" spans="1:28" ht="12" customHeight="1">
      <c r="A26" s="588"/>
      <c r="B26" s="589"/>
      <c r="C26" s="589"/>
      <c r="D26" s="589"/>
      <c r="E26" s="596"/>
      <c r="F26" s="597"/>
      <c r="G26" s="586"/>
      <c r="H26" s="586"/>
      <c r="I26" s="586"/>
      <c r="J26" s="595"/>
      <c r="L26" s="2899" t="s">
        <v>417</v>
      </c>
      <c r="M26" s="2900"/>
      <c r="N26" s="2900"/>
      <c r="O26" s="402" t="e">
        <f>ROUND(AVERAGE(G19:H19),0)</f>
        <v>#DIV/0!</v>
      </c>
      <c r="P26" s="227" t="s">
        <v>95</v>
      </c>
      <c r="Q26" s="399"/>
      <c r="R26" s="188"/>
      <c r="S26" s="188"/>
      <c r="T26" s="188"/>
      <c r="U26" s="188"/>
      <c r="V26" s="182"/>
      <c r="W26" s="182"/>
      <c r="X26" s="188"/>
      <c r="Y26" s="188"/>
      <c r="Z26" s="182"/>
    </row>
    <row r="27" spans="1:28" ht="12" customHeight="1">
      <c r="A27" s="583"/>
      <c r="B27" s="586"/>
      <c r="C27" s="586"/>
      <c r="D27" s="586"/>
      <c r="E27" s="586"/>
      <c r="F27" s="586"/>
      <c r="G27" s="586"/>
      <c r="H27" s="586"/>
      <c r="I27" s="586"/>
      <c r="J27" s="595"/>
      <c r="L27" s="2901" t="s">
        <v>333</v>
      </c>
      <c r="M27" s="2902"/>
      <c r="N27" s="2902"/>
      <c r="O27" s="403" t="e">
        <f>ROUND(O25-O26,0)</f>
        <v>#DIV/0!</v>
      </c>
      <c r="P27" s="228" t="s">
        <v>95</v>
      </c>
      <c r="Q27" s="399"/>
      <c r="R27" s="192"/>
      <c r="S27" s="198"/>
      <c r="T27" s="192"/>
      <c r="U27" s="198"/>
      <c r="V27" s="182"/>
      <c r="W27" s="182"/>
      <c r="X27" s="211"/>
      <c r="Y27" s="197"/>
      <c r="Z27" s="182"/>
    </row>
    <row r="28" spans="1:28" ht="12" customHeight="1" thickBot="1">
      <c r="A28" s="583"/>
      <c r="B28" s="586"/>
      <c r="C28" s="586"/>
      <c r="D28" s="586"/>
      <c r="E28" s="586"/>
      <c r="F28" s="586"/>
      <c r="G28" s="586"/>
      <c r="H28" s="586"/>
      <c r="I28" s="586"/>
      <c r="J28" s="595"/>
      <c r="L28" s="392"/>
      <c r="M28" s="392"/>
      <c r="N28" s="392"/>
      <c r="O28" s="392"/>
      <c r="P28" s="392"/>
      <c r="Q28" s="392"/>
      <c r="R28" s="192"/>
      <c r="S28" s="198"/>
      <c r="T28" s="192"/>
      <c r="U28" s="198"/>
      <c r="V28" s="182"/>
      <c r="W28" s="182"/>
      <c r="X28" s="192"/>
      <c r="Y28" s="197"/>
      <c r="Z28" s="182"/>
    </row>
    <row r="29" spans="1:28" ht="12" customHeight="1" thickTop="1">
      <c r="A29" s="583"/>
      <c r="B29" s="586"/>
      <c r="C29" s="586"/>
      <c r="D29" s="586"/>
      <c r="E29" s="586"/>
      <c r="F29" s="586"/>
      <c r="G29" s="586"/>
      <c r="H29" s="586"/>
      <c r="I29" s="586"/>
      <c r="J29" s="595"/>
      <c r="L29" s="404" t="s">
        <v>147</v>
      </c>
      <c r="M29" s="405"/>
      <c r="N29" s="406"/>
      <c r="O29" s="392"/>
      <c r="P29" s="392"/>
      <c r="Q29" s="392"/>
      <c r="R29" s="192"/>
      <c r="S29" s="198"/>
      <c r="T29" s="192"/>
      <c r="U29" s="198"/>
      <c r="V29" s="182"/>
      <c r="W29" s="182"/>
      <c r="X29" s="192"/>
      <c r="Y29" s="197"/>
      <c r="Z29" s="182"/>
    </row>
    <row r="30" spans="1:28" ht="12" customHeight="1">
      <c r="A30" s="583"/>
      <c r="B30" s="586"/>
      <c r="C30" s="586"/>
      <c r="D30" s="586"/>
      <c r="E30" s="586"/>
      <c r="F30" s="586"/>
      <c r="G30" s="586"/>
      <c r="H30" s="586"/>
      <c r="I30" s="586"/>
      <c r="J30" s="595"/>
      <c r="L30" s="407"/>
      <c r="M30" s="408"/>
      <c r="N30" s="409"/>
      <c r="O30" s="392"/>
      <c r="P30" s="392"/>
      <c r="Q30" s="392"/>
      <c r="R30" s="211"/>
      <c r="S30" s="212"/>
      <c r="T30" s="211"/>
      <c r="U30" s="212"/>
      <c r="V30" s="182"/>
      <c r="W30" s="182"/>
      <c r="X30" s="211"/>
      <c r="Y30" s="212"/>
      <c r="Z30" s="182"/>
    </row>
    <row r="31" spans="1:28" ht="12" customHeight="1">
      <c r="A31" s="583"/>
      <c r="B31" s="586"/>
      <c r="C31" s="586"/>
      <c r="D31" s="586"/>
      <c r="E31" s="586"/>
      <c r="F31" s="586"/>
      <c r="G31" s="586"/>
      <c r="H31" s="586"/>
      <c r="I31" s="586"/>
      <c r="J31" s="595"/>
      <c r="L31" s="410">
        <f>D14</f>
        <v>0</v>
      </c>
      <c r="M31" s="411" t="e">
        <f>LN(L31)</f>
        <v>#NUM!</v>
      </c>
      <c r="N31" s="412" t="str">
        <f>(D19)</f>
        <v/>
      </c>
      <c r="O31" s="392"/>
      <c r="P31" s="392"/>
      <c r="Q31" s="392"/>
      <c r="R31" s="211"/>
      <c r="S31" s="212"/>
      <c r="T31" s="211"/>
      <c r="U31" s="212"/>
      <c r="V31" s="182"/>
      <c r="W31" s="182"/>
      <c r="X31" s="211"/>
      <c r="Y31" s="212"/>
      <c r="Z31" s="182"/>
    </row>
    <row r="32" spans="1:28" ht="12" customHeight="1">
      <c r="A32" s="583"/>
      <c r="B32" s="586"/>
      <c r="C32" s="586"/>
      <c r="D32" s="586"/>
      <c r="E32" s="586"/>
      <c r="F32" s="586"/>
      <c r="G32" s="586"/>
      <c r="H32" s="586"/>
      <c r="I32" s="586"/>
      <c r="J32" s="595"/>
      <c r="L32" s="410">
        <f>E14</f>
        <v>0</v>
      </c>
      <c r="M32" s="411" t="e">
        <f>LN(L32)</f>
        <v>#NUM!</v>
      </c>
      <c r="N32" s="412" t="str">
        <f>(E19)</f>
        <v/>
      </c>
      <c r="O32" s="392"/>
      <c r="P32" s="392"/>
      <c r="Q32" s="392"/>
      <c r="R32" s="182"/>
      <c r="S32" s="182"/>
      <c r="T32" s="188"/>
      <c r="U32" s="188"/>
      <c r="V32" s="182"/>
      <c r="W32" s="182"/>
      <c r="X32" s="182"/>
      <c r="Y32" s="182"/>
      <c r="Z32" s="182"/>
    </row>
    <row r="33" spans="1:26" ht="12" customHeight="1">
      <c r="A33" s="583"/>
      <c r="B33" s="586"/>
      <c r="C33" s="586"/>
      <c r="D33" s="586"/>
      <c r="E33" s="586"/>
      <c r="F33" s="586"/>
      <c r="G33" s="586"/>
      <c r="H33" s="586"/>
      <c r="I33" s="586"/>
      <c r="J33" s="595"/>
      <c r="L33" s="410">
        <f>F14</f>
        <v>0</v>
      </c>
      <c r="M33" s="413" t="e">
        <f>LN(L33)</f>
        <v>#NUM!</v>
      </c>
      <c r="N33" s="412" t="str">
        <f>F19</f>
        <v/>
      </c>
      <c r="O33" s="392"/>
      <c r="P33" s="392"/>
      <c r="Q33" s="392"/>
      <c r="R33" s="182"/>
      <c r="S33" s="182"/>
      <c r="T33" s="188"/>
      <c r="U33" s="188"/>
      <c r="V33" s="182"/>
      <c r="W33" s="182"/>
      <c r="X33" s="182"/>
      <c r="Y33" s="182"/>
      <c r="Z33" s="182"/>
    </row>
    <row r="34" spans="1:26" ht="12" customHeight="1">
      <c r="A34" s="583"/>
      <c r="B34" s="586"/>
      <c r="C34" s="586"/>
      <c r="D34" s="586"/>
      <c r="E34" s="586"/>
      <c r="F34" s="586"/>
      <c r="G34" s="586"/>
      <c r="H34" s="586"/>
      <c r="I34" s="586"/>
      <c r="J34" s="595"/>
      <c r="L34" s="407"/>
      <c r="M34" s="414"/>
      <c r="N34" s="415"/>
      <c r="O34" s="392"/>
      <c r="P34" s="392"/>
      <c r="Q34" s="392"/>
      <c r="R34" s="188"/>
      <c r="S34" s="188"/>
      <c r="T34" s="182"/>
      <c r="U34" s="182"/>
      <c r="V34" s="182"/>
      <c r="W34" s="182"/>
      <c r="X34" s="182"/>
      <c r="Y34" s="182"/>
      <c r="Z34" s="182"/>
    </row>
    <row r="35" spans="1:26" ht="12" customHeight="1">
      <c r="A35" s="583"/>
      <c r="B35" s="586"/>
      <c r="C35" s="586"/>
      <c r="D35" s="586"/>
      <c r="E35" s="586"/>
      <c r="F35" s="586"/>
      <c r="G35" s="586"/>
      <c r="H35" s="586"/>
      <c r="I35" s="586"/>
      <c r="J35" s="595"/>
      <c r="L35" s="416">
        <v>25</v>
      </c>
      <c r="M35" s="417">
        <v>25</v>
      </c>
      <c r="N35" s="418">
        <v>5</v>
      </c>
      <c r="O35" s="392"/>
      <c r="P35" s="392"/>
      <c r="Q35" s="399"/>
      <c r="R35" s="188"/>
      <c r="S35" s="188"/>
      <c r="T35" s="182"/>
      <c r="U35" s="182"/>
      <c r="V35" s="182"/>
      <c r="W35" s="182"/>
      <c r="X35" s="182"/>
      <c r="Y35" s="182"/>
      <c r="Z35" s="182"/>
    </row>
    <row r="36" spans="1:26" ht="12" customHeight="1">
      <c r="A36" s="583"/>
      <c r="B36" s="586"/>
      <c r="C36" s="586"/>
      <c r="D36" s="586"/>
      <c r="E36" s="586"/>
      <c r="F36" s="586"/>
      <c r="G36" s="586"/>
      <c r="H36" s="586"/>
      <c r="I36" s="586"/>
      <c r="J36" s="595"/>
      <c r="L36" s="416">
        <v>0</v>
      </c>
      <c r="M36" s="419" t="e">
        <f>#REF!</f>
        <v>#REF!</v>
      </c>
      <c r="N36" s="420" t="e">
        <f>M36</f>
        <v>#REF!</v>
      </c>
      <c r="O36" s="392"/>
      <c r="P36" s="392"/>
      <c r="Q36" s="399"/>
      <c r="R36" s="182"/>
      <c r="S36" s="182"/>
      <c r="T36" s="182"/>
      <c r="U36" s="182"/>
      <c r="V36" s="182"/>
      <c r="W36" s="182"/>
      <c r="X36" s="182"/>
      <c r="Y36" s="182"/>
      <c r="Z36" s="182"/>
    </row>
    <row r="37" spans="1:26" ht="12" customHeight="1">
      <c r="A37" s="583"/>
      <c r="B37" s="586"/>
      <c r="C37" s="586"/>
      <c r="D37" s="586"/>
      <c r="E37" s="586"/>
      <c r="F37" s="586"/>
      <c r="G37" s="586"/>
      <c r="H37" s="586"/>
      <c r="I37" s="586"/>
      <c r="J37" s="595"/>
      <c r="L37" s="421">
        <v>10</v>
      </c>
      <c r="M37" s="422">
        <v>25</v>
      </c>
      <c r="N37" s="423"/>
      <c r="O37" s="392"/>
      <c r="P37" s="392"/>
      <c r="Q37" s="392"/>
    </row>
    <row r="38" spans="1:26" ht="12" customHeight="1" thickBot="1">
      <c r="A38" s="583"/>
      <c r="B38" s="586"/>
      <c r="C38" s="586"/>
      <c r="D38" s="586"/>
      <c r="E38" s="586"/>
      <c r="F38" s="586"/>
      <c r="G38" s="586"/>
      <c r="H38" s="586"/>
      <c r="I38" s="586"/>
      <c r="J38" s="595"/>
      <c r="L38" s="424" t="e">
        <f>M38</f>
        <v>#REF!</v>
      </c>
      <c r="M38" s="425" t="e">
        <f>M36</f>
        <v>#REF!</v>
      </c>
      <c r="N38" s="426"/>
      <c r="O38" s="392"/>
      <c r="P38" s="392"/>
      <c r="Q38" s="392"/>
    </row>
    <row r="39" spans="1:26" ht="12" customHeight="1" thickTop="1">
      <c r="A39" s="583"/>
      <c r="B39" s="586"/>
      <c r="C39" s="586"/>
      <c r="D39" s="586"/>
      <c r="E39" s="586"/>
      <c r="F39" s="586"/>
      <c r="G39" s="586"/>
      <c r="H39" s="586"/>
      <c r="I39" s="586"/>
      <c r="J39" s="595"/>
      <c r="L39" s="392"/>
      <c r="M39" s="392"/>
      <c r="N39" s="392"/>
      <c r="O39" s="392"/>
      <c r="P39" s="392"/>
      <c r="Q39" s="392"/>
      <c r="R39" s="213"/>
    </row>
    <row r="40" spans="1:26" ht="12" customHeight="1">
      <c r="A40" s="583"/>
      <c r="B40" s="586"/>
      <c r="C40" s="586"/>
      <c r="D40" s="586"/>
      <c r="E40" s="586"/>
      <c r="F40" s="586"/>
      <c r="G40" s="586"/>
      <c r="H40" s="586"/>
      <c r="I40" s="586"/>
      <c r="J40" s="595"/>
      <c r="L40" s="2931" t="s">
        <v>147</v>
      </c>
      <c r="M40" s="2932"/>
      <c r="N40" s="2932"/>
      <c r="O40" s="2933"/>
      <c r="P40" s="392"/>
      <c r="Q40" s="392"/>
      <c r="R40" s="213"/>
    </row>
    <row r="41" spans="1:26" ht="15.95" customHeight="1">
      <c r="A41" s="2934" t="s">
        <v>148</v>
      </c>
      <c r="B41" s="2935"/>
      <c r="C41" s="2935"/>
      <c r="D41" s="2398" t="s">
        <v>149</v>
      </c>
      <c r="E41" s="2398"/>
      <c r="F41" s="2398"/>
      <c r="G41" s="2398" t="s">
        <v>150</v>
      </c>
      <c r="H41" s="2398"/>
      <c r="I41" s="598"/>
      <c r="J41" s="599"/>
      <c r="L41" s="427">
        <f>D14</f>
        <v>0</v>
      </c>
      <c r="M41" s="427">
        <f>E14</f>
        <v>0</v>
      </c>
      <c r="N41" s="427">
        <f>F14</f>
        <v>0</v>
      </c>
      <c r="O41" s="408"/>
      <c r="P41" s="392"/>
      <c r="Q41" s="392"/>
      <c r="R41" s="213"/>
    </row>
    <row r="42" spans="1:26" ht="15.95" customHeight="1">
      <c r="A42" s="2936"/>
      <c r="B42" s="2937"/>
      <c r="C42" s="2937"/>
      <c r="D42" s="2944" t="s">
        <v>151</v>
      </c>
      <c r="E42" s="2944"/>
      <c r="F42" s="2944"/>
      <c r="G42" s="2944" t="s">
        <v>152</v>
      </c>
      <c r="H42" s="2944"/>
      <c r="I42" s="2944"/>
      <c r="J42" s="600"/>
      <c r="L42" s="411" t="str">
        <f>D19</f>
        <v/>
      </c>
      <c r="M42" s="411" t="str">
        <f>E19</f>
        <v/>
      </c>
      <c r="N42" s="411" t="str">
        <f>F19</f>
        <v/>
      </c>
      <c r="O42" s="414"/>
      <c r="P42" s="392"/>
      <c r="Q42" s="392"/>
      <c r="R42" s="213"/>
    </row>
    <row r="43" spans="1:26" ht="14.1" customHeight="1">
      <c r="A43" s="2938" t="s">
        <v>153</v>
      </c>
      <c r="B43" s="2939"/>
      <c r="C43" s="2940"/>
      <c r="D43" s="2940"/>
      <c r="E43" s="2940"/>
      <c r="F43" s="2940"/>
      <c r="G43" s="2940"/>
      <c r="H43" s="2940"/>
      <c r="I43" s="2940"/>
      <c r="J43" s="2941"/>
      <c r="L43" s="392"/>
      <c r="M43" s="428"/>
      <c r="N43" s="392"/>
      <c r="O43" s="392"/>
      <c r="P43" s="392"/>
      <c r="Q43" s="392"/>
      <c r="R43" s="213"/>
    </row>
    <row r="44" spans="1:26" ht="31.5" customHeight="1">
      <c r="A44" s="2919"/>
      <c r="B44" s="2920"/>
      <c r="C44" s="2920"/>
      <c r="D44" s="2920"/>
      <c r="E44" s="2920"/>
      <c r="F44" s="2920"/>
      <c r="G44" s="2920"/>
      <c r="H44" s="2920"/>
      <c r="I44" s="2920"/>
      <c r="J44" s="2921"/>
      <c r="L44" s="392"/>
      <c r="M44" s="392"/>
      <c r="N44" s="392"/>
      <c r="O44" s="392"/>
      <c r="P44" s="392"/>
      <c r="Q44" s="392"/>
      <c r="R44" s="213"/>
    </row>
    <row r="45" spans="1:26" ht="14.1" customHeight="1">
      <c r="A45" s="2928"/>
      <c r="B45" s="2929"/>
      <c r="C45" s="1902" t="s">
        <v>10</v>
      </c>
      <c r="D45" s="1903"/>
      <c r="E45" s="1904"/>
      <c r="F45" s="1902" t="s">
        <v>405</v>
      </c>
      <c r="G45" s="1904"/>
      <c r="H45" s="1902" t="s">
        <v>12</v>
      </c>
      <c r="I45" s="1903"/>
      <c r="J45" s="2060"/>
      <c r="L45" s="392"/>
      <c r="M45" s="392"/>
      <c r="N45" s="392"/>
      <c r="O45" s="392"/>
      <c r="P45" s="429"/>
      <c r="Q45" s="392"/>
      <c r="R45" s="213"/>
    </row>
    <row r="46" spans="1:26" ht="39.950000000000003" customHeight="1">
      <c r="A46" s="2194" t="s">
        <v>13</v>
      </c>
      <c r="B46" s="2075"/>
      <c r="C46" s="2913"/>
      <c r="D46" s="2914"/>
      <c r="E46" s="2915"/>
      <c r="F46" s="2913"/>
      <c r="G46" s="2915"/>
      <c r="H46" s="2913"/>
      <c r="I46" s="2914"/>
      <c r="J46" s="2927"/>
      <c r="L46" s="392"/>
      <c r="M46" s="392"/>
      <c r="N46" s="392"/>
      <c r="O46" s="392"/>
      <c r="P46" s="429"/>
      <c r="Q46" s="392"/>
      <c r="R46" s="213"/>
    </row>
    <row r="47" spans="1:26" ht="14.1" customHeight="1">
      <c r="A47" s="2907" t="s">
        <v>621</v>
      </c>
      <c r="B47" s="2908"/>
      <c r="C47" s="1896" t="s">
        <v>560</v>
      </c>
      <c r="D47" s="1897"/>
      <c r="E47" s="1898"/>
      <c r="F47" s="1896" t="s">
        <v>560</v>
      </c>
      <c r="G47" s="1898"/>
      <c r="H47" s="1896" t="s">
        <v>560</v>
      </c>
      <c r="I47" s="1897"/>
      <c r="J47" s="2069"/>
      <c r="K47" s="169"/>
      <c r="L47" s="430" t="s">
        <v>345</v>
      </c>
      <c r="M47" s="431"/>
      <c r="N47" s="431"/>
      <c r="O47" s="431"/>
      <c r="P47" s="432" t="s">
        <v>154</v>
      </c>
      <c r="Q47" s="392"/>
    </row>
    <row r="48" spans="1:26" ht="14.1" customHeight="1" thickBot="1">
      <c r="A48" s="2909" t="s">
        <v>14</v>
      </c>
      <c r="B48" s="2910"/>
      <c r="C48" s="2911" t="str">
        <f>IF(C47="--","",VLOOKUP(C47,firmas!A2:B31,2,0))</f>
        <v/>
      </c>
      <c r="D48" s="2290"/>
      <c r="E48" s="2912"/>
      <c r="F48" s="2911" t="str">
        <f>IF(F47="--","",VLOOKUP(F47,firmas!A33:B35,2,0))</f>
        <v/>
      </c>
      <c r="G48" s="2912"/>
      <c r="H48" s="2924" t="str">
        <f>IF(H47="--","",VLOOKUP(H47,firmas!A37:B38,2))</f>
        <v/>
      </c>
      <c r="I48" s="2925"/>
      <c r="J48" s="2926"/>
      <c r="K48" s="169"/>
      <c r="L48" s="2918" t="s">
        <v>155</v>
      </c>
      <c r="M48" s="2922"/>
      <c r="N48" s="2922"/>
      <c r="O48" s="2922"/>
      <c r="P48" s="433" t="s">
        <v>156</v>
      </c>
      <c r="Q48" s="392"/>
    </row>
    <row r="49" spans="1:23" ht="12" customHeight="1" thickTop="1" thickBot="1">
      <c r="A49" s="2923" t="s">
        <v>24</v>
      </c>
      <c r="B49" s="2923"/>
      <c r="C49" s="2923"/>
      <c r="D49" s="2923"/>
      <c r="E49" s="2923"/>
      <c r="F49" s="2923"/>
      <c r="G49" s="2923"/>
      <c r="H49" s="2923"/>
      <c r="I49" s="2923"/>
      <c r="J49" s="2923"/>
      <c r="K49" s="214"/>
      <c r="L49" s="2918" t="s">
        <v>157</v>
      </c>
      <c r="M49" s="2922"/>
      <c r="N49" s="2922"/>
      <c r="O49" s="2922"/>
      <c r="P49" s="434" t="s">
        <v>158</v>
      </c>
      <c r="Q49" s="392"/>
    </row>
    <row r="50" spans="1:23" ht="18" customHeight="1" thickTop="1">
      <c r="A50" s="2895" t="s">
        <v>161</v>
      </c>
      <c r="B50" s="2895"/>
      <c r="C50" s="2895"/>
      <c r="D50" s="2895"/>
      <c r="E50" s="2895"/>
      <c r="F50" s="2895"/>
      <c r="G50" s="2895"/>
      <c r="H50" s="2895"/>
      <c r="I50" s="2895"/>
      <c r="J50" s="2895"/>
      <c r="K50" s="214"/>
      <c r="L50" s="2917" t="s">
        <v>159</v>
      </c>
      <c r="M50" s="2917"/>
      <c r="N50" s="2917"/>
      <c r="O50" s="2918"/>
      <c r="P50" s="434" t="s">
        <v>160</v>
      </c>
      <c r="Q50" s="392"/>
    </row>
    <row r="51" spans="1:23" ht="27.95" customHeight="1">
      <c r="A51" s="2916" t="s">
        <v>162</v>
      </c>
      <c r="B51" s="2916"/>
      <c r="C51" s="2916"/>
      <c r="D51" s="2916"/>
      <c r="E51" s="2916"/>
      <c r="F51" s="2916"/>
      <c r="G51" s="2916"/>
      <c r="H51" s="2916"/>
      <c r="I51" s="2916"/>
      <c r="J51" s="2916"/>
      <c r="K51" s="214"/>
      <c r="L51" s="392"/>
      <c r="M51" s="392"/>
      <c r="N51" s="392"/>
      <c r="O51" s="392"/>
      <c r="P51" s="435"/>
      <c r="Q51" s="392"/>
    </row>
    <row r="52" spans="1:23" ht="14.1" customHeight="1">
      <c r="A52" s="214"/>
      <c r="B52" s="214"/>
      <c r="C52" s="214"/>
      <c r="D52" s="214"/>
      <c r="E52" s="214"/>
      <c r="F52" s="214"/>
      <c r="G52" s="214"/>
      <c r="H52" s="214"/>
      <c r="I52" s="214"/>
      <c r="J52" s="214"/>
      <c r="K52" s="214"/>
      <c r="L52" s="392"/>
      <c r="M52" s="392"/>
      <c r="N52" s="392"/>
      <c r="O52" s="392"/>
      <c r="P52" s="436"/>
      <c r="Q52" s="437"/>
      <c r="S52" s="182"/>
      <c r="T52" s="182"/>
      <c r="U52" s="182"/>
      <c r="V52" s="182"/>
      <c r="W52" s="182"/>
    </row>
    <row r="53" spans="1:23" ht="14.1" customHeight="1">
      <c r="A53" s="214"/>
      <c r="B53" s="214"/>
      <c r="C53" s="214"/>
      <c r="D53" s="214"/>
      <c r="E53" s="214"/>
      <c r="F53" s="214"/>
      <c r="G53" s="214"/>
      <c r="H53" s="214"/>
      <c r="I53" s="214"/>
      <c r="J53" s="214"/>
      <c r="K53" s="214"/>
      <c r="L53" s="438"/>
      <c r="M53" s="399"/>
      <c r="N53" s="392"/>
      <c r="O53" s="392"/>
      <c r="P53" s="392"/>
      <c r="Q53" s="392"/>
    </row>
    <row r="54" spans="1:23" ht="14.1" customHeight="1">
      <c r="B54" s="215"/>
      <c r="C54" s="215"/>
      <c r="D54" s="215"/>
      <c r="E54" s="215"/>
      <c r="F54" s="215"/>
      <c r="G54" s="215"/>
      <c r="H54" s="214"/>
      <c r="I54" s="214"/>
      <c r="J54" s="214"/>
      <c r="K54" s="214"/>
      <c r="L54" s="438"/>
      <c r="M54" s="399"/>
      <c r="N54" s="392"/>
      <c r="O54" s="392"/>
      <c r="P54" s="392"/>
      <c r="Q54" s="392"/>
    </row>
    <row r="55" spans="1:23" ht="14.1" customHeight="1">
      <c r="A55" s="214"/>
      <c r="B55" s="214"/>
      <c r="C55" s="214"/>
      <c r="D55" s="214"/>
      <c r="E55" s="214"/>
      <c r="F55" s="214"/>
      <c r="G55" s="214"/>
      <c r="H55" s="214"/>
      <c r="I55" s="214"/>
      <c r="J55" s="214"/>
      <c r="K55" s="214"/>
      <c r="L55" s="438"/>
      <c r="M55" s="399"/>
      <c r="N55" s="392"/>
      <c r="O55" s="392"/>
      <c r="P55" s="392"/>
      <c r="Q55" s="392"/>
    </row>
    <row r="56" spans="1:23" ht="20.100000000000001" customHeight="1">
      <c r="A56" s="214"/>
      <c r="B56" s="214"/>
      <c r="C56" s="214"/>
      <c r="D56" s="214"/>
      <c r="E56" s="214"/>
      <c r="F56" s="214"/>
      <c r="G56" s="214"/>
      <c r="H56" s="214"/>
      <c r="I56" s="214"/>
      <c r="J56" s="214"/>
      <c r="K56" s="214"/>
      <c r="L56" s="214"/>
      <c r="M56" s="182"/>
    </row>
    <row r="57" spans="1:23" ht="30" customHeight="1">
      <c r="A57" s="214"/>
      <c r="B57" s="214"/>
      <c r="C57" s="214"/>
      <c r="D57" s="214"/>
      <c r="E57" s="214"/>
      <c r="F57" s="214"/>
      <c r="G57" s="214"/>
      <c r="H57" s="214"/>
      <c r="I57" s="214"/>
      <c r="J57" s="214"/>
      <c r="K57" s="214"/>
      <c r="L57" s="214"/>
      <c r="M57" s="182"/>
    </row>
    <row r="58" spans="1:23">
      <c r="A58" s="214"/>
      <c r="B58" s="214"/>
      <c r="C58" s="214"/>
      <c r="D58" s="214"/>
      <c r="E58" s="214"/>
      <c r="F58" s="214"/>
      <c r="G58" s="214"/>
      <c r="H58" s="214"/>
      <c r="I58" s="214"/>
      <c r="J58" s="214"/>
      <c r="K58" s="214"/>
      <c r="L58" s="214"/>
      <c r="M58" s="182"/>
    </row>
    <row r="59" spans="1:23">
      <c r="A59" s="214"/>
      <c r="B59" s="214"/>
      <c r="C59" s="214"/>
      <c r="D59" s="214"/>
      <c r="E59" s="214"/>
      <c r="F59" s="214"/>
      <c r="G59" s="214"/>
      <c r="H59" s="214"/>
      <c r="I59" s="214"/>
      <c r="J59" s="214"/>
      <c r="K59" s="214"/>
      <c r="L59" s="214"/>
      <c r="M59" s="182"/>
    </row>
    <row r="60" spans="1:23">
      <c r="A60" s="214"/>
      <c r="B60" s="214"/>
      <c r="C60" s="214"/>
      <c r="D60" s="214"/>
      <c r="E60" s="214"/>
      <c r="F60" s="214"/>
      <c r="G60" s="214"/>
      <c r="H60" s="214"/>
      <c r="I60" s="214"/>
      <c r="J60" s="214"/>
      <c r="K60" s="214"/>
      <c r="L60" s="214"/>
      <c r="M60" s="182"/>
    </row>
    <row r="61" spans="1:23">
      <c r="A61" s="214"/>
      <c r="B61" s="214"/>
      <c r="C61" s="214"/>
      <c r="D61" s="214"/>
      <c r="E61" s="216"/>
      <c r="F61" s="214"/>
      <c r="G61" s="214"/>
      <c r="H61" s="214"/>
      <c r="I61" s="214"/>
      <c r="J61" s="214"/>
      <c r="K61" s="214"/>
      <c r="L61" s="214"/>
      <c r="M61" s="182"/>
    </row>
    <row r="62" spans="1:23">
      <c r="A62" s="214"/>
      <c r="B62" s="214"/>
      <c r="C62" s="214"/>
      <c r="D62" s="214"/>
      <c r="E62" s="214"/>
      <c r="F62" s="214"/>
      <c r="G62" s="214"/>
      <c r="H62" s="214"/>
      <c r="I62" s="214"/>
      <c r="J62" s="214"/>
      <c r="K62" s="214"/>
      <c r="L62" s="214"/>
    </row>
    <row r="63" spans="1:23">
      <c r="A63" s="214"/>
      <c r="B63" s="214"/>
      <c r="C63" s="214"/>
      <c r="D63" s="214"/>
      <c r="E63" s="214"/>
      <c r="F63" s="214"/>
      <c r="G63" s="214"/>
      <c r="H63" s="214"/>
      <c r="I63" s="214"/>
      <c r="J63" s="214"/>
      <c r="K63" s="214"/>
      <c r="L63" s="214"/>
    </row>
    <row r="64" spans="1:23">
      <c r="A64" s="214"/>
      <c r="B64" s="214"/>
      <c r="C64" s="214"/>
      <c r="D64" s="214"/>
      <c r="E64" s="214"/>
      <c r="F64" s="214"/>
      <c r="G64" s="214"/>
      <c r="H64" s="214"/>
      <c r="I64" s="214"/>
      <c r="J64" s="214"/>
      <c r="K64" s="214"/>
      <c r="L64" s="214"/>
    </row>
    <row r="65" spans="1:12">
      <c r="A65" s="214"/>
      <c r="B65" s="214"/>
      <c r="C65" s="214"/>
      <c r="D65" s="214"/>
      <c r="E65" s="214"/>
      <c r="F65" s="214"/>
      <c r="G65" s="214"/>
      <c r="H65" s="214"/>
      <c r="I65" s="214"/>
      <c r="J65" s="214"/>
      <c r="K65" s="214"/>
      <c r="L65" s="214"/>
    </row>
    <row r="66" spans="1:12">
      <c r="A66" s="214"/>
      <c r="B66" s="214"/>
      <c r="C66" s="214"/>
      <c r="D66" s="214"/>
      <c r="E66" s="214"/>
      <c r="F66" s="214"/>
      <c r="G66" s="214"/>
      <c r="H66" s="214"/>
      <c r="I66" s="214"/>
      <c r="J66" s="214"/>
      <c r="K66" s="214"/>
      <c r="L66" s="214"/>
    </row>
    <row r="67" spans="1:12">
      <c r="A67" s="214"/>
      <c r="B67" s="214"/>
      <c r="C67" s="214"/>
      <c r="D67" s="214"/>
      <c r="E67" s="214"/>
      <c r="F67" s="214"/>
      <c r="G67" s="214"/>
      <c r="H67" s="214"/>
      <c r="I67" s="214"/>
      <c r="J67" s="214"/>
      <c r="K67" s="214"/>
      <c r="L67" s="214"/>
    </row>
    <row r="68" spans="1:12">
      <c r="A68" s="214"/>
      <c r="B68" s="214"/>
      <c r="C68" s="214"/>
      <c r="D68" s="214"/>
      <c r="E68" s="214"/>
      <c r="F68" s="214"/>
      <c r="G68" s="214"/>
      <c r="H68" s="214"/>
      <c r="I68" s="214"/>
      <c r="J68" s="214"/>
      <c r="K68" s="214"/>
      <c r="L68" s="214"/>
    </row>
    <row r="69" spans="1:12">
      <c r="A69" s="214"/>
      <c r="B69" s="214"/>
      <c r="C69" s="214"/>
      <c r="D69" s="214"/>
      <c r="E69" s="214"/>
      <c r="F69" s="214"/>
      <c r="G69" s="214"/>
      <c r="H69" s="214"/>
      <c r="I69" s="214"/>
      <c r="J69" s="214"/>
      <c r="K69" s="214"/>
      <c r="L69" s="214"/>
    </row>
    <row r="70" spans="1:12">
      <c r="A70" s="214"/>
      <c r="B70" s="214"/>
      <c r="C70" s="214"/>
      <c r="D70" s="214"/>
      <c r="E70" s="214"/>
      <c r="F70" s="214"/>
      <c r="G70" s="214"/>
      <c r="H70" s="214"/>
      <c r="I70" s="214"/>
      <c r="J70" s="214"/>
      <c r="K70" s="214"/>
      <c r="L70" s="214"/>
    </row>
    <row r="71" spans="1:12">
      <c r="A71" s="214"/>
      <c r="B71" s="214"/>
      <c r="C71" s="214"/>
      <c r="D71" s="214"/>
      <c r="E71" s="214"/>
      <c r="F71" s="214"/>
      <c r="G71" s="214"/>
      <c r="H71" s="214"/>
      <c r="I71" s="214"/>
      <c r="J71" s="214"/>
      <c r="K71" s="214"/>
      <c r="L71" s="214"/>
    </row>
    <row r="72" spans="1:12">
      <c r="A72" s="214"/>
      <c r="B72" s="214"/>
      <c r="C72" s="214"/>
      <c r="D72" s="214"/>
      <c r="E72" s="214"/>
      <c r="F72" s="214"/>
      <c r="G72" s="214"/>
      <c r="H72" s="214"/>
      <c r="I72" s="214"/>
      <c r="J72" s="214"/>
      <c r="K72" s="214"/>
      <c r="L72" s="214"/>
    </row>
    <row r="73" spans="1:12">
      <c r="K73" s="214"/>
      <c r="L73" s="214"/>
    </row>
    <row r="74" spans="1:12">
      <c r="K74" s="214"/>
      <c r="L74" s="214"/>
    </row>
    <row r="75" spans="1:12">
      <c r="K75" s="214"/>
      <c r="L75" s="214"/>
    </row>
    <row r="76" spans="1:12">
      <c r="K76" s="214"/>
      <c r="L76" s="214"/>
    </row>
    <row r="77" spans="1:12">
      <c r="K77" s="214"/>
      <c r="L77" s="214"/>
    </row>
    <row r="78" spans="1:12">
      <c r="K78" s="214"/>
      <c r="L78" s="214"/>
    </row>
  </sheetData>
  <sheetProtection formatCells="0"/>
  <mergeCells count="67">
    <mergeCell ref="B6:F6"/>
    <mergeCell ref="B9:F9"/>
    <mergeCell ref="C7:D7"/>
    <mergeCell ref="E7:F7"/>
    <mergeCell ref="H6:J6"/>
    <mergeCell ref="H7:J7"/>
    <mergeCell ref="H8:J8"/>
    <mergeCell ref="H9:J9"/>
    <mergeCell ref="E8:F8"/>
    <mergeCell ref="A1:B5"/>
    <mergeCell ref="C1:J1"/>
    <mergeCell ref="C2:J2"/>
    <mergeCell ref="C3:J3"/>
    <mergeCell ref="C4:G4"/>
    <mergeCell ref="H4:J4"/>
    <mergeCell ref="C5:J5"/>
    <mergeCell ref="AA23:AB23"/>
    <mergeCell ref="AA24:AB24"/>
    <mergeCell ref="L14:N14"/>
    <mergeCell ref="O14:Q14"/>
    <mergeCell ref="U14:W14"/>
    <mergeCell ref="X14:Z14"/>
    <mergeCell ref="AA25:AB25"/>
    <mergeCell ref="L40:O40"/>
    <mergeCell ref="A41:C42"/>
    <mergeCell ref="A43:B43"/>
    <mergeCell ref="C43:J43"/>
    <mergeCell ref="I25:J25"/>
    <mergeCell ref="L25:N25"/>
    <mergeCell ref="L26:N26"/>
    <mergeCell ref="L27:N27"/>
    <mergeCell ref="D41:F41"/>
    <mergeCell ref="D42:F42"/>
    <mergeCell ref="G42:I42"/>
    <mergeCell ref="G41:H41"/>
    <mergeCell ref="A51:J51"/>
    <mergeCell ref="L50:O50"/>
    <mergeCell ref="A44:J44"/>
    <mergeCell ref="L48:O48"/>
    <mergeCell ref="L49:O49"/>
    <mergeCell ref="A49:J49"/>
    <mergeCell ref="H48:J48"/>
    <mergeCell ref="H45:J45"/>
    <mergeCell ref="H46:J46"/>
    <mergeCell ref="H47:J47"/>
    <mergeCell ref="F45:G45"/>
    <mergeCell ref="F46:G46"/>
    <mergeCell ref="F47:G47"/>
    <mergeCell ref="A45:B45"/>
    <mergeCell ref="A46:B46"/>
    <mergeCell ref="C48:E48"/>
    <mergeCell ref="D12:F12"/>
    <mergeCell ref="G12:H12"/>
    <mergeCell ref="C8:D8"/>
    <mergeCell ref="A50:J50"/>
    <mergeCell ref="I14:I18"/>
    <mergeCell ref="D21:F21"/>
    <mergeCell ref="D22:F22"/>
    <mergeCell ref="D23:F23"/>
    <mergeCell ref="D11:F11"/>
    <mergeCell ref="G11:H11"/>
    <mergeCell ref="A47:B47"/>
    <mergeCell ref="A48:B48"/>
    <mergeCell ref="F48:G48"/>
    <mergeCell ref="C45:E45"/>
    <mergeCell ref="C46:E46"/>
    <mergeCell ref="C47:E47"/>
  </mergeCells>
  <dataValidations count="2">
    <dataValidation type="list" allowBlank="1" showInputMessage="1" showErrorMessage="1" sqref="D12:F12">
      <formula1>$L$4:$L$5</formula1>
    </dataValidation>
    <dataValidation type="list" allowBlank="1" showInputMessage="1" showErrorMessage="1" sqref="M4 G12:H12">
      <formula1>$M$4:$M$5</formula1>
    </dataValidation>
  </dataValidations>
  <printOptions horizontalCentered="1" gridLinesSet="0"/>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www.umv.gov.co111311&amp;C&amp;6GLAB-FM-005
Página 1 de 1</oddFooter>
  </headerFooter>
  <colBreaks count="1" manualBreakCount="1">
    <brk id="10" max="69" man="1"/>
  </colBreaks>
  <ignoredErrors>
    <ignoredError sqref="D19:H19"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H47:J47</xm:sqref>
        </x14:dataValidation>
        <x14:dataValidation type="list" allowBlank="1" showInputMessage="1" showErrorMessage="1">
          <x14:formula1>
            <xm:f>firmas!$A$2:$A$31</xm:f>
          </x14:formula1>
          <xm:sqref>C47:E47</xm:sqref>
        </x14:dataValidation>
        <x14:dataValidation type="list" allowBlank="1" showInputMessage="1" showErrorMessage="1">
          <x14:formula1>
            <xm:f>firmas!$A$33:$A$35</xm:f>
          </x14:formula1>
          <xm:sqref>F47:G47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23</vt:i4>
      </vt:variant>
    </vt:vector>
  </HeadingPairs>
  <TitlesOfParts>
    <vt:vector size="46" baseType="lpstr">
      <vt:lpstr>RESUMEN </vt:lpstr>
      <vt:lpstr>Gradacion </vt:lpstr>
      <vt:lpstr>Desgaste</vt:lpstr>
      <vt:lpstr>Microdeval </vt:lpstr>
      <vt:lpstr>10% De Finos</vt:lpstr>
      <vt:lpstr> HUMEDAD</vt:lpstr>
      <vt:lpstr>HUMEDAD</vt:lpstr>
      <vt:lpstr>Solidez</vt:lpstr>
      <vt:lpstr>LIMITES</vt:lpstr>
      <vt:lpstr>EQUIVALENTE</vt:lpstr>
      <vt:lpstr>TERRONES DE ARCILLA</vt:lpstr>
      <vt:lpstr>Lavado tamiz N°200</vt:lpstr>
      <vt:lpstr>INV 222-13</vt:lpstr>
      <vt:lpstr>1. Encabezado</vt:lpstr>
      <vt:lpstr>GRAVEDAD</vt:lpstr>
      <vt:lpstr>COLORIMETRIA</vt:lpstr>
      <vt:lpstr>CF - IF </vt:lpstr>
      <vt:lpstr>ANGULARIDAD</vt:lpstr>
      <vt:lpstr>PROCTOR</vt:lpstr>
      <vt:lpstr> CBR 1</vt:lpstr>
      <vt:lpstr> CBR (2)</vt:lpstr>
      <vt:lpstr>firmas</vt:lpstr>
      <vt:lpstr>Hoja1</vt:lpstr>
      <vt:lpstr>aprobonombres</vt:lpstr>
      <vt:lpstr>' CBR (2)'!Área_de_impresión</vt:lpstr>
      <vt:lpstr>' CBR 1'!Área_de_impresión</vt:lpstr>
      <vt:lpstr>' HUMEDAD'!Área_de_impresión</vt:lpstr>
      <vt:lpstr>'1. Encabezado'!Área_de_impresión</vt:lpstr>
      <vt:lpstr>'10% De Finos'!Área_de_impresión</vt:lpstr>
      <vt:lpstr>ANGULARIDAD!Área_de_impresión</vt:lpstr>
      <vt:lpstr>'CF - IF '!Área_de_impresión</vt:lpstr>
      <vt:lpstr>COLORIMETRIA!Área_de_impresión</vt:lpstr>
      <vt:lpstr>Desgaste!Área_de_impresión</vt:lpstr>
      <vt:lpstr>EQUIVALENTE!Área_de_impresión</vt:lpstr>
      <vt:lpstr>'Gradacion '!Área_de_impresión</vt:lpstr>
      <vt:lpstr>GRAVEDAD!Área_de_impresión</vt:lpstr>
      <vt:lpstr>HUMEDAD!Área_de_impresión</vt:lpstr>
      <vt:lpstr>'INV 222-13'!Área_de_impresión</vt:lpstr>
      <vt:lpstr>'Lavado tamiz N°200'!Área_de_impresión</vt:lpstr>
      <vt:lpstr>LIMITES!Área_de_impresión</vt:lpstr>
      <vt:lpstr>'Microdeval '!Área_de_impresión</vt:lpstr>
      <vt:lpstr>PROCTOR!Área_de_impresión</vt:lpstr>
      <vt:lpstr>'RESUMEN '!Área_de_impresión</vt:lpstr>
      <vt:lpstr>Solidez!Área_de_impresión</vt:lpstr>
      <vt:lpstr>Elaboronombres</vt:lpstr>
      <vt:lpstr>revisonombres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Sonia Gaviria</dc:creator>
  <cp:lastModifiedBy>Karen Daniela Flórez Barón</cp:lastModifiedBy>
  <cp:lastPrinted>2022-02-07T19:46:35Z</cp:lastPrinted>
  <dcterms:created xsi:type="dcterms:W3CDTF">2015-07-10T04:28:05Z</dcterms:created>
  <dcterms:modified xsi:type="dcterms:W3CDTF">2022-08-23T12:37:27Z</dcterms:modified>
</cp:coreProperties>
</file>