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omments1.xml" ContentType="application/vnd.openxmlformats-officedocument.spreadsheetml.comments+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codeName="ThisWorkbook" defaultThemeVersion="124226"/>
  <mc:AlternateContent xmlns:mc="http://schemas.openxmlformats.org/markup-compatibility/2006">
    <mc:Choice Requires="x15">
      <x15ac:absPath xmlns:x15ac="http://schemas.microsoft.com/office/spreadsheetml/2010/11/ac" url="D:\Laboratorio\9. Acreditacion\1. Control de documentos\1. Aprobaciones\84. Aprobacion 2024-12- (Logo ONAC)\"/>
    </mc:Choice>
  </mc:AlternateContent>
  <bookViews>
    <workbookView xWindow="-120" yWindow="-120" windowWidth="29040" windowHeight="15840" tabRatio="910" firstSheet="4" activeTab="4"/>
  </bookViews>
  <sheets>
    <sheet name="Desgaste" sheetId="20" state="hidden" r:id="rId1"/>
    <sheet name="Microdeval " sheetId="21" state="hidden" r:id="rId2"/>
    <sheet name="10% De Finos" sheetId="22" state="hidden" r:id="rId3"/>
    <sheet name=" HUMEDAD" sheetId="41" state="hidden" r:id="rId4"/>
    <sheet name="Gradacion " sheetId="47" r:id="rId5"/>
    <sheet name="CF - IF " sheetId="27" state="hidden" r:id="rId6"/>
    <sheet name="ANGULARIDAD" sheetId="28" state="hidden" r:id="rId7"/>
    <sheet name="PROCTOR" sheetId="30" state="hidden" r:id="rId8"/>
    <sheet name=" CBR 1" sheetId="29" state="hidden" r:id="rId9"/>
    <sheet name=" CBR (2)" sheetId="31" state="hidden" r:id="rId10"/>
    <sheet name="firmas" sheetId="33" state="hidden" r:id="rId11"/>
    <sheet name="Hoja1" sheetId="32"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123Graph_A" hidden="1">[1]AIU!$D$338:$D$357</definedName>
    <definedName name="__123Graph_Acaja" hidden="1">[1]EVA!$D$39:$AD$39</definedName>
    <definedName name="__123Graph_ACart_AnticAdic" hidden="1">[1]EVA!$F$95:$I$95</definedName>
    <definedName name="__123Graph_AFACTURAC" hidden="1">[1]Program!$B$120:$Y$120</definedName>
    <definedName name="__123Graph_AGraph2" hidden="1">[1]AIU!$D$338:$D$357</definedName>
    <definedName name="__123Graph_Bcaja" hidden="1">[1]EVA!$D$56:$AD$56</definedName>
    <definedName name="__123Graph_BCart_AnticAdic" hidden="1">[1]EVA!$F$96:$I$96</definedName>
    <definedName name="__123Graph_Ccaja" hidden="1">[1]EVA!$D$58:$AD$58</definedName>
    <definedName name="__123Graph_CCart_AnticAdic" hidden="1">[1]EVA!$F$97:$I$97</definedName>
    <definedName name="__123Graph_Dcaja" hidden="1">[1]EVA!$D$61:$AD$61</definedName>
    <definedName name="__123Graph_DCart_AnticAdic" hidden="1">[1]EVA!$F$99:$I$99</definedName>
    <definedName name="__123Graph_ECart_AnticAdic" hidden="1">[1]EVA!$F$99:$I$99</definedName>
    <definedName name="__123Graph_LBL_ACart_AnticAdic" hidden="1">[1]EVA!$J$95:$K$95</definedName>
    <definedName name="__123Graph_LBL_Ccaja" hidden="1">[1]EVA!$D$58:$AD$58</definedName>
    <definedName name="__123Graph_LBL_DCart_AnticAdic" hidden="1">[1]EVA!$F$98:$I$98</definedName>
    <definedName name="__123Graph_X" hidden="1">[1]AIU!$C$338:$C$357</definedName>
    <definedName name="__123Graph_Xcaja" hidden="1">[1]EVA!$D$6:$AD$6</definedName>
    <definedName name="_1__123Graph_ACart_Utilidad" hidden="1">[1]EVA!$F$104:$I$104</definedName>
    <definedName name="_2__123Graph_BCart_Utilidad" hidden="1">[1]EVA!$F$105:$I$105</definedName>
    <definedName name="_3__123Graph_CCart_Utilidad" hidden="1">[1]EVA!$F$106:$I$106</definedName>
    <definedName name="_4__123Graph_LBL_ACart_Utilidad" hidden="1">[1]EVA!$F$109:$I$109</definedName>
    <definedName name="_5__123Graph_LBL_BCart_Utilidad" hidden="1">[1]EVA!$F$110:$I$110</definedName>
    <definedName name="_6__123Graph_LBL_CCart_Utilidad" hidden="1">[1]EVA!$F$111:$I$111</definedName>
    <definedName name="_7__123Graph_XCart_Utilidad" hidden="1">[1]EVA!$F$103:$I$103</definedName>
    <definedName name="_Fill" localSheetId="9" hidden="1">#REF!</definedName>
    <definedName name="_Fill" localSheetId="3" hidden="1">#REF!</definedName>
    <definedName name="_Fill" localSheetId="4" hidden="1">#REF!</definedName>
    <definedName name="_Fill" localSheetId="7" hidden="1">#REF!</definedName>
    <definedName name="_Fill" hidden="1">#REF!</definedName>
    <definedName name="_Key1" localSheetId="3" hidden="1">[2]OCTUBRE!#REF!</definedName>
    <definedName name="_Key1" localSheetId="4" hidden="1">[3]OCTUBRE!#REF!</definedName>
    <definedName name="_Key1" hidden="1">[3]OCTUBRE!#REF!</definedName>
    <definedName name="_Order1" hidden="1">255</definedName>
    <definedName name="_Order2" hidden="1">255</definedName>
    <definedName name="_Regression_Out" localSheetId="9" hidden="1">[4]L!#REF!</definedName>
    <definedName name="_Regression_Out" localSheetId="8" hidden="1">[4]L!#REF!</definedName>
    <definedName name="_Regression_Out" localSheetId="3" hidden="1">[4]L!#REF!</definedName>
    <definedName name="_Regression_Out" localSheetId="6" hidden="1">[4]L!#REF!</definedName>
    <definedName name="_Regression_Out" localSheetId="5" hidden="1">[4]L!#REF!</definedName>
    <definedName name="_Regression_Out" localSheetId="0" hidden="1">[4]L!#REF!</definedName>
    <definedName name="_Regression_Out" localSheetId="4" hidden="1">[4]L!#REF!</definedName>
    <definedName name="_Regression_Out" localSheetId="1" hidden="1">[4]L!#REF!</definedName>
    <definedName name="_Regression_Out" hidden="1">[4]L!#REF!</definedName>
    <definedName name="_Regression_X" localSheetId="9" hidden="1">#REF!</definedName>
    <definedName name="_Regression_X" localSheetId="8" hidden="1">#REF!</definedName>
    <definedName name="_Regression_X" localSheetId="3" hidden="1">#REF!</definedName>
    <definedName name="_Regression_X" localSheetId="5" hidden="1">#REF!</definedName>
    <definedName name="_Regression_X" localSheetId="4" hidden="1">#REF!</definedName>
    <definedName name="_Regression_X" localSheetId="7" hidden="1">#REF!</definedName>
    <definedName name="_Regression_X" hidden="1">#REF!</definedName>
    <definedName name="_Regression_Y" localSheetId="9" hidden="1">#REF!</definedName>
    <definedName name="_Regression_Y" localSheetId="8" hidden="1">#REF!</definedName>
    <definedName name="_Regression_Y" localSheetId="3" hidden="1">#REF!</definedName>
    <definedName name="_Regression_Y" localSheetId="5" hidden="1">#REF!</definedName>
    <definedName name="_Regression_Y" localSheetId="4" hidden="1">#REF!</definedName>
    <definedName name="_Regression_Y" localSheetId="7" hidden="1">#REF!</definedName>
    <definedName name="_Regression_Y" hidden="1">#REF!</definedName>
    <definedName name="_Sort" localSheetId="3" hidden="1">[2]OCTUBRE!#REF!</definedName>
    <definedName name="_Sort" localSheetId="4" hidden="1">[3]OCTUBRE!#REF!</definedName>
    <definedName name="_Sort" hidden="1">[3]OCTUBRE!#REF!</definedName>
    <definedName name="aprobo">INDEX(firmas!$C$33:$C$35,MATCH(#REF!,firmas!$A$33:$A$35,0))</definedName>
    <definedName name="APROBO_A">INDEX([5]firmas!$C$33:$C$35,MATCH([5]ANGULARIDAD!$AK$29,[5]firmas!$A$33:$A$35,0))</definedName>
    <definedName name="aprobofirmas">INDEX(firmas!$C$33:$C$35,MATCH(#REF!,firmas!$A$33:$A$35,0))</definedName>
    <definedName name="aprobofirmas1">INDEX([6]firmas!$C$33:$C$35,MATCH('[6]RESUMEN '!$V$45:$X$45,[6]firmas!$A$33:$A$35,0))</definedName>
    <definedName name="aprobofirmas10">INDEX(firmas!$C$33:$C$35,MATCH(#REF!,firmas!$A$33:$A$35,0))</definedName>
    <definedName name="aprobofirmas11">INDEX(firmas!$C$33:$C$35,MATCH(ANGULARIDAD!$AK$29,firmas!$A$33:$A$35,0))</definedName>
    <definedName name="aprobofirmas12">INDEX(firmas!$C$33:$C$35,MATCH(PROCTOR!$I$42,firmas!$A$33:$A$35,0))</definedName>
    <definedName name="aprobofirmas13">INDEX(firmas!$C$33:$C$35,MATCH(' CBR 1'!$AP$55:$AQ$55,firmas!$A$33:$A$35,0))</definedName>
    <definedName name="aprobofirmas14">INDEX(firmas!$C$33:$C$35,MATCH(' CBR (2)'!$G$55:$H$55,firmas!$A$33:$A$35,0))</definedName>
    <definedName name="Aprobofirmas2" localSheetId="4">INDEX(firmas!$C$33:$C$35,MATCH('Gradacion '!#REF!,firmas!$A$33:$A$35,0))</definedName>
    <definedName name="aprobofirmas2">INDEX(firmas!$C$33:$C$35,MATCH(#REF!,firmas!$A$33:$A$35,0))</definedName>
    <definedName name="aprobofirmas3">INDEX(firmas!$C$33:$C$35,MATCH(Desgaste!$T$38,firmas!$A$33:$A$35,0))</definedName>
    <definedName name="aprobofirmas4">INDEX(firmas!$C$33:$C$35,MATCH('Microdeval '!$AC$44,firmas!$A$33:$A$35,0))</definedName>
    <definedName name="aprobofirmas5">INDEX(firmas!$C$33:$C$35,MATCH('10% De Finos'!$I$23:$K$23,firmas!$A$33:$A$35,0))</definedName>
    <definedName name="aprobofirmas6">INDEX(firmas!$C$33:$C$35,MATCH(#REF!,firmas!$A$33:$A$35,0))</definedName>
    <definedName name="aprobofirmas7">INDEX(firmas!$C$33:$C$35,MATCH(#REF!,firmas!$A$33:$A$35,0))</definedName>
    <definedName name="aprobofirmas8">INDEX([6]firmas!$C$33:$C$35,MATCH([6]EQUIVALENTE!$J$29,[6]firmas!$A$33:$A$35,0))</definedName>
    <definedName name="aprobofirmas9">INDEX(firmas!$C$33:$C$35,MATCH(#REF!,firmas!$A$33:$A$35,0))</definedName>
    <definedName name="aprobofirmasD">INDEX([7]firmas!$C$33:$C$35,MATCH('[7]Desgaste '!$T$36:$Z$36,[7]firmas!$A$33:$A$35,0))</definedName>
    <definedName name="aprobofirmash" localSheetId="3">INDEX(firmas!$C$33:$C$35,MATCH(' HUMEDAD'!$I$31:$K$31,firmas!$A$33:$A$35,0))</definedName>
    <definedName name="aprobofirmasMO">INDEX(firmas!$C$33:$C$35,MATCH(#REF!,firmas!$A$33:$A$35,0))</definedName>
    <definedName name="aprobonombres" localSheetId="3">[8]firmas!$A$33:$A$35</definedName>
    <definedName name="aprobonombres">firmas!$A$33:$A$35</definedName>
    <definedName name="_xlnm.Print_Area" localSheetId="9">' CBR (2)'!$A$1:$H$59</definedName>
    <definedName name="_xlnm.Print_Area" localSheetId="8">' CBR 1'!$AK$1:$AQ$59</definedName>
    <definedName name="_xlnm.Print_Area" localSheetId="3">' HUMEDAD'!$A$1:$K$35</definedName>
    <definedName name="_xlnm.Print_Area" localSheetId="2">'10% De Finos'!$A$1:$K$27</definedName>
    <definedName name="_xlnm.Print_Area" localSheetId="6">ANGULARIDAD!$A$1:$AV$33</definedName>
    <definedName name="_xlnm.Print_Area" localSheetId="5">'CF - IF '!$A$1:$AI$47</definedName>
    <definedName name="_xlnm.Print_Area" localSheetId="0">Desgaste!$A$1:$Z$42</definedName>
    <definedName name="_xlnm.Print_Area" localSheetId="4">'Gradacion '!$A$1:$AN$50</definedName>
    <definedName name="_xlnm.Print_Area" localSheetId="1">'Microdeval '!$A$1:$AJ$48</definedName>
    <definedName name="_xlnm.Print_Area" localSheetId="7">PROCTOR!$A$1:$K$46</definedName>
    <definedName name="ELABORA_A">INDEX([5]firmas!$C$2:$C$26,MATCH([5]ANGULARIDAD!$L$29,[5]firmas!$A$2:$A$26,0))</definedName>
    <definedName name="elaborocargo">[8]firmas!$B$11:$B$13</definedName>
    <definedName name="elaborofirmas1">INDEX(firmas!$C$2:$C$26,MATCH(#REF!,firmas!$A$2:$A$26,0))</definedName>
    <definedName name="elaborofirmas10">INDEX(firmas!$C$2:$C$26,MATCH(#REF!,firmas!$A$2:$A$26,0))</definedName>
    <definedName name="elaborofirmas11">INDEX(firmas!$C$2:$C$26,MATCH(ANGULARIDAD!$L$29,firmas!$A$2:$A$26,0))</definedName>
    <definedName name="elaborofirmas12">INDEX(firmas!$C$2:$C$26,MATCH(PROCTOR!$C$42,firmas!$A$2:$A$26,0))</definedName>
    <definedName name="elaborofirmas13">INDEX(firmas!$C$2:$C$26,MATCH(' CBR 1'!$AL$55:$AM$55,firmas!$A$2:$A$26,0))</definedName>
    <definedName name="elaborofirmas14">INDEX(firmas!$C$2:$C$26,MATCH(' CBR (2)'!$C$55,firmas!$A$2:$A$26,0))</definedName>
    <definedName name="elaborofirmas2" localSheetId="4">INDEX(firmas!$C$2:$C$26,MATCH('Gradacion '!#REF!,firmas!$A$2:$A$26,0))</definedName>
    <definedName name="elaborofirmas2">INDEX(firmas!$C$2:$C$26,MATCH(#REF!,firmas!$A$2:$A$26,0))</definedName>
    <definedName name="elaborofirmas3">INDEX(firmas!$C$2:$C$26,MATCH(Desgaste!$F$38,firmas!$A$2:$A$26,0))</definedName>
    <definedName name="elaborofirmas4">INDEX(firmas!$C$2:$C$26,MATCH('Microdeval '!$I$44,firmas!$A$2:$A$26,0))</definedName>
    <definedName name="elaborofirmas5">INDEX(firmas!$C$2:$C$26,MATCH('10% De Finos'!$D$23:$E$23,firmas!$A$2:$A$26,0))</definedName>
    <definedName name="elaborofirmas6">INDEX(firmas!$C$2:$C$26,MATCH(#REF!,firmas!$A$2:$A$26,0))</definedName>
    <definedName name="elaborofirmas7">INDEX(firmas!$C$2:$C$26,MATCH(#REF!,firmas!$A$2:$A$26,0))</definedName>
    <definedName name="elaborofirmas8">INDEX([6]firmas!$C$2:$C$26,MATCH([6]EQUIVALENTE!$D$29,[6]firmas!$A$2:$A$26,0))</definedName>
    <definedName name="elaborofirmas9">INDEX(firmas!$C$2:$C$26,MATCH(#REF!,firmas!$A$2:$A$26,0))</definedName>
    <definedName name="elaborofirmasD">INDEX([7]firmas!$C$2:$C$26,MATCH('[7]Desgaste '!$F$36:$L$36,[7]firmas!$A$2:$A$26,0))</definedName>
    <definedName name="elaborofirmash" localSheetId="3">INDEX(firmas!$C$2:$C$26,MATCH(' HUMEDAD'!$C$31:$E$31,firmas!$A$2:$A$26,0))</definedName>
    <definedName name="elaborofirmasMO">INDEX(firmas!$C$2:$C$26,MATCH(#REF!,firmas!$A$2:$A$26,0))</definedName>
    <definedName name="Elaboronombres" localSheetId="3">[8]firmas!$A$2:$A$26</definedName>
    <definedName name="Elaboronombres">firmas!$A$2:$A$26</definedName>
    <definedName name="HTML1_1" hidden="1">"'[06Cumplimiento1996.xls]GASTOS'!$A$3:$B$16"</definedName>
    <definedName name="HTML1_10" hidden="1">""</definedName>
    <definedName name="HTML1_11" hidden="1">1</definedName>
    <definedName name="HTML1_12" hidden="1">"c:\prueba.htm"</definedName>
    <definedName name="HTML1_2" hidden="1">1</definedName>
    <definedName name="HTML1_3" hidden="1">"06Cumplimiento1996"</definedName>
    <definedName name="HTML1_4" hidden="1">"GASTOS"</definedName>
    <definedName name="HTML1_5" hidden="1">""</definedName>
    <definedName name="HTML1_6" hidden="1">-4146</definedName>
    <definedName name="HTML1_7" hidden="1">-4146</definedName>
    <definedName name="HTML1_8" hidden="1">"16/12/1996"</definedName>
    <definedName name="HTML1_9" hidden="1">"JUAN CARLOS TORO VALDERRAMA"</definedName>
    <definedName name="HTML2_1" hidden="1">"'[INDICES.XLS]INDICES I'!$A$1:$K$36"</definedName>
    <definedName name="HTML2_10" hidden="1">""</definedName>
    <definedName name="HTML2_11" hidden="1">1</definedName>
    <definedName name="HTML2_12" hidden="1">"C:\Mis documentos\INDICESI.htm"</definedName>
    <definedName name="HTML2_2" hidden="1">1</definedName>
    <definedName name="HTML2_3" hidden="1">"INDICES"</definedName>
    <definedName name="HTML2_4" hidden="1">"INDICES I"</definedName>
    <definedName name="HTML2_5" hidden="1">""</definedName>
    <definedName name="HTML2_6" hidden="1">-4146</definedName>
    <definedName name="HTML2_7" hidden="1">-4146</definedName>
    <definedName name="HTML2_8" hidden="1">"5/02/1997"</definedName>
    <definedName name="HTML2_9" hidden="1">"JUAN CARLOS TORO VALDERRAMA"</definedName>
    <definedName name="HTML3_1" hidden="1">"'[INDICES.XLS]IPC NAL'!$A$4:$B$43"</definedName>
    <definedName name="HTML3_10" hidden="1">""</definedName>
    <definedName name="HTML3_11" hidden="1">1</definedName>
    <definedName name="HTML3_12" hidden="1">"C:\Mis documentos\IPCNAL.htm"</definedName>
    <definedName name="HTML3_2" hidden="1">1</definedName>
    <definedName name="HTML3_3" hidden="1">"INDICES"</definedName>
    <definedName name="HTML3_4" hidden="1">"IPC NAL"</definedName>
    <definedName name="HTML3_5" hidden="1">""</definedName>
    <definedName name="HTML3_6" hidden="1">-4146</definedName>
    <definedName name="HTML3_7" hidden="1">-4146</definedName>
    <definedName name="HTML3_8" hidden="1">"5/02/1997"</definedName>
    <definedName name="HTML3_9" hidden="1">"JUAN CARLOS TORO VALDERRAMA"</definedName>
    <definedName name="HTML4_1" hidden="1">"'[INDICES.XLS]IPC NAL'!$A$4:$C$43"</definedName>
    <definedName name="HTML4_10" hidden="1">""</definedName>
    <definedName name="HTML4_11" hidden="1">1</definedName>
    <definedName name="HTML4_12" hidden="1">"C:\Mis documentos\IPCNAL.htm"</definedName>
    <definedName name="HTML4_2" hidden="1">1</definedName>
    <definedName name="HTML4_3" hidden="1">"INDICES"</definedName>
    <definedName name="HTML4_4" hidden="1">"IPC NAL"</definedName>
    <definedName name="HTML4_5" hidden="1">""</definedName>
    <definedName name="HTML4_6" hidden="1">-4146</definedName>
    <definedName name="HTML4_7" hidden="1">-4146</definedName>
    <definedName name="HTML4_8" hidden="1">"5/02/1997"</definedName>
    <definedName name="HTML4_9" hidden="1">"JUAN CARLOS TORO VALDERRAMA"</definedName>
    <definedName name="HTML5_1" hidden="1">"'[INDICES.XLS]INDICES I'!$A$1:$I$36"</definedName>
    <definedName name="HTML5_10" hidden="1">""</definedName>
    <definedName name="HTML5_11" hidden="1">1</definedName>
    <definedName name="HTML5_12" hidden="1">"C:\Mis documentos\INDICESI.htm"</definedName>
    <definedName name="HTML5_2" hidden="1">1</definedName>
    <definedName name="HTML5_3" hidden="1">"INDICES"</definedName>
    <definedName name="HTML5_4" hidden="1">"INDICES I"</definedName>
    <definedName name="HTML5_5" hidden="1">""</definedName>
    <definedName name="HTML5_6" hidden="1">-4146</definedName>
    <definedName name="HTML5_7" hidden="1">-4146</definedName>
    <definedName name="HTML5_8" hidden="1">"5/02/1997"</definedName>
    <definedName name="HTML5_9" hidden="1">"JUAN CARLOS TORO VALDERRAMA"</definedName>
    <definedName name="HTML6_1" hidden="1">"'[INDICES.XLS]INDICES 1'!$A$3:$K$30"</definedName>
    <definedName name="HTML6_10" hidden="1">""</definedName>
    <definedName name="HTML6_11" hidden="1">1</definedName>
    <definedName name="HTML6_12" hidden="1">"C:\Mis documentos\INDICES1.htm"</definedName>
    <definedName name="HTML6_2" hidden="1">1</definedName>
    <definedName name="HTML6_3" hidden="1">"INDICES"</definedName>
    <definedName name="HTML6_4" hidden="1">"INDICES 1"</definedName>
    <definedName name="HTML6_5" hidden="1">""</definedName>
    <definedName name="HTML6_6" hidden="1">-4146</definedName>
    <definedName name="HTML6_7" hidden="1">-4146</definedName>
    <definedName name="HTML6_8" hidden="1">"5/02/1997"</definedName>
    <definedName name="HTML6_9" hidden="1">"JUAN CARLOS TORO VALDERRAMA"</definedName>
    <definedName name="HTMLCount" hidden="1">1</definedName>
    <definedName name="KK" localSheetId="10" hidden="1">[3]OCTUBRE!#REF!</definedName>
    <definedName name="KK" localSheetId="4" hidden="1">[3]OCTUBRE!#REF!</definedName>
    <definedName name="KK" hidden="1">[3]OCTUBRE!#REF!</definedName>
    <definedName name="Ojo" localSheetId="3" hidden="1">#REF!</definedName>
    <definedName name="Ojo" localSheetId="4" hidden="1">#REF!</definedName>
    <definedName name="Ojo" hidden="1">#REF!</definedName>
    <definedName name="pendiente" localSheetId="3" hidden="1">#REF!</definedName>
    <definedName name="pendiente" localSheetId="4" hidden="1">#REF!</definedName>
    <definedName name="pendiente" hidden="1">#REF!</definedName>
    <definedName name="REVISO_A">INDEX([5]firmas!$C$28:$C$31,MATCH([5]ANGULARIDAD!$W$29:$X$43,[5]firmas!$A$28:$A$31,0))</definedName>
    <definedName name="revisocargo">[8]firmas!$B$28:$B$30</definedName>
    <definedName name="revisoea">INDEX(firmas!$C$28:$C$31,MATCH(#REF!,firmas!$A$28:$A$31,0))</definedName>
    <definedName name="revisofirmas1">INDEX(firmas!$C$28:$C$31,MATCH(#REF!,firmas!$A$28:$A$31,0))</definedName>
    <definedName name="revisofirmas10">INDEX(firmas!$C$28:$C$31,MATCH(#REF!,firmas!$A$28:$A$31,0))</definedName>
    <definedName name="revisofirmas11">INDEX(firmas!$C$28:$C$31,MATCH(ANGULARIDAD!$W$29:$X$43,firmas!$A$28:$A$31,0))</definedName>
    <definedName name="revisofirmas12">INDEX(firmas!$C$28:$C$31,MATCH(PROCTOR!$F$42,firmas!$A$28:$A$31,0))</definedName>
    <definedName name="revisofirmas13">INDEX(firmas!$C$28:$C$31,MATCH(' CBR 1'!$AN$55:$AO$55,firmas!$A$28:$A$31,0))</definedName>
    <definedName name="revisofirmas14">INDEX(firmas!$C$28:$C$31,MATCH(' CBR (2)'!$E$55:$F$55,firmas!$A$28:$A$31,0))</definedName>
    <definedName name="Revisofirmas2" localSheetId="4">INDEX(firmas!$C$28:$C$31,MATCH(+'Gradacion '!#REF!,firmas!$A$28:$A$31,0))</definedName>
    <definedName name="revisofirmas2">INDEX(firmas!$C$28:$C$31,MATCH(#REF!,firmas!$A$28:$A$31,0))</definedName>
    <definedName name="revisofirmas3">INDEX(firmas!$C$28:$C$31,MATCH(Desgaste!$L$38,firmas!$A$28:$A$31,0))</definedName>
    <definedName name="revisofirmas4">INDEX(firmas!$C$28:$C$31,MATCH('Microdeval '!$R$44,firmas!$A$28:$A$31,0))</definedName>
    <definedName name="revisofirmas5">INDEX(firmas!$C$28:$C$31,MATCH('10% De Finos'!$F$23,firmas!$A$28:$A$31,0))</definedName>
    <definedName name="revisofirmas6">INDEX(firmas!$C$28:$C$31,MATCH(#REF!,firmas!$A$28:$A$31,0))</definedName>
    <definedName name="revisofirmas7">INDEX(firmas!$C$28:$C$31,MATCH(#REF!,firmas!$A$28:$A$31,0))</definedName>
    <definedName name="revisofirmas8">INDEX([6]firmas!$C$28:$C$31,MATCH([6]EQUIVALENTE!$G$29,[6]firmas!$A$28:$A$31,0))</definedName>
    <definedName name="revisofirmas9">INDEX(firmas!$C$28:$C$31,MATCH(#REF!,firmas!$A$28:$A$31,0))</definedName>
    <definedName name="revisofirmasD">INDEX([7]firmas!$C$28:$C$31,MATCH('[7]Desgaste '!$M$36:$S$36,[7]firmas!$A$28:$A$31,0))</definedName>
    <definedName name="revisofirmash" localSheetId="3">INDEX(firmas!$C$28:$C$31,MATCH(' HUMEDAD'!$F$31:$H$31,firmas!$A$28:$A$31,0))</definedName>
    <definedName name="revisofirmasH">INDEX([9]firmas!$C$28:$C$31,MATCH(#REF!,[9]firmas!$A$28:$A$31,0))</definedName>
    <definedName name="revisofirmasMO">INDEX(firmas!$C$28:$C$31,MATCH(#REF!,firmas!$A$28:$A$31,0))</definedName>
    <definedName name="revisonombres" localSheetId="3">[8]firmas!$A$28:$A$31</definedName>
    <definedName name="revisonombres">firmas!$A$28:$A$31</definedName>
  </definedNames>
  <calcPr calcId="162913"/>
  <customWorkbookViews>
    <customWorkbookView name="Bernardo Valderrama - Vista personalizada" guid="{F1901233-A0CA-4ED4-999B-866A13B1821D}" mergeInterval="0" personalView="1" maximized="1" windowWidth="1356" windowHeight="542" tabRatio="796" activeSheetId="2"/>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5" i="47" l="1"/>
  <c r="A25" i="47"/>
  <c r="A46" i="47" l="1"/>
  <c r="AP12" i="47"/>
  <c r="AP9" i="47"/>
  <c r="AQ9" i="47"/>
  <c r="AF8" i="47"/>
  <c r="DT13" i="47" l="1"/>
  <c r="DS13" i="47"/>
  <c r="CS13" i="47"/>
  <c r="CR13" i="47"/>
  <c r="BQ13" i="47"/>
  <c r="BP13" i="47"/>
  <c r="AO10" i="47" l="1"/>
  <c r="AG52" i="47" l="1"/>
  <c r="AG12" i="47" s="1"/>
  <c r="I52" i="47"/>
  <c r="AG68" i="47" l="1"/>
  <c r="AG76" i="47" l="1"/>
  <c r="Y76" i="47"/>
  <c r="A76" i="47"/>
  <c r="AG75" i="47"/>
  <c r="Y75" i="47"/>
  <c r="AG74" i="47"/>
  <c r="Y74" i="47"/>
  <c r="AG73" i="47"/>
  <c r="Y73" i="47"/>
  <c r="AG72" i="47"/>
  <c r="Y72" i="47"/>
  <c r="AG71" i="47"/>
  <c r="Y71" i="47"/>
  <c r="AG70" i="47"/>
  <c r="Y70" i="47"/>
  <c r="AG69" i="47"/>
  <c r="Y69" i="47"/>
  <c r="Y68" i="47"/>
  <c r="AG67" i="47"/>
  <c r="Y67" i="47"/>
  <c r="AP69" i="47"/>
  <c r="Y66" i="47"/>
  <c r="Y65" i="47"/>
  <c r="Y64" i="47"/>
  <c r="Y63" i="47"/>
  <c r="A63" i="47"/>
  <c r="AG62" i="47"/>
  <c r="Y62" i="47"/>
  <c r="AG61" i="47"/>
  <c r="Y61" i="47"/>
  <c r="AG60" i="47"/>
  <c r="Y60" i="47"/>
  <c r="AG59" i="47"/>
  <c r="Y59" i="47"/>
  <c r="AG58" i="47"/>
  <c r="Y58" i="47"/>
  <c r="AG57" i="47"/>
  <c r="Y57" i="47"/>
  <c r="AG56" i="47"/>
  <c r="Y56" i="47"/>
  <c r="AG55" i="47"/>
  <c r="Y55" i="47"/>
  <c r="AC55" i="47" s="1"/>
  <c r="AQ47" i="47"/>
  <c r="A65" i="47" s="1"/>
  <c r="E65" i="47" s="1"/>
  <c r="AT46" i="47"/>
  <c r="AT45" i="47"/>
  <c r="AT44" i="47"/>
  <c r="AT41" i="47"/>
  <c r="AT40" i="47"/>
  <c r="AT39" i="47"/>
  <c r="AT38" i="47"/>
  <c r="AT37" i="47"/>
  <c r="AT36" i="47"/>
  <c r="AT35" i="47"/>
  <c r="AG27" i="47"/>
  <c r="AK25" i="47"/>
  <c r="AG25" i="47"/>
  <c r="AK24" i="47"/>
  <c r="AG24" i="47"/>
  <c r="AV46" i="47" s="1"/>
  <c r="A24" i="47"/>
  <c r="I24" i="47" s="1"/>
  <c r="AK23" i="47"/>
  <c r="AG23" i="47"/>
  <c r="AV45" i="47" s="1"/>
  <c r="A23" i="47"/>
  <c r="AK22" i="47"/>
  <c r="AW44" i="47" s="1"/>
  <c r="AG22" i="47"/>
  <c r="AV44" i="47" s="1"/>
  <c r="A22" i="47"/>
  <c r="AK21" i="47"/>
  <c r="AW41" i="47" s="1"/>
  <c r="AG21" i="47"/>
  <c r="AV41" i="47" s="1"/>
  <c r="A21" i="47"/>
  <c r="AK20" i="47"/>
  <c r="AW40" i="47" s="1"/>
  <c r="AG20" i="47"/>
  <c r="AV40" i="47" s="1"/>
  <c r="A20" i="47"/>
  <c r="AK19" i="47"/>
  <c r="AW39" i="47" s="1"/>
  <c r="AG19" i="47"/>
  <c r="AV39" i="47" s="1"/>
  <c r="A19" i="47"/>
  <c r="AK18" i="47"/>
  <c r="AW38" i="47" s="1"/>
  <c r="AG18" i="47"/>
  <c r="AV38" i="47" s="1"/>
  <c r="A18" i="47"/>
  <c r="AK17" i="47"/>
  <c r="AW37" i="47" s="1"/>
  <c r="AG17" i="47"/>
  <c r="AV37" i="47" s="1"/>
  <c r="A17" i="47"/>
  <c r="AK16" i="47"/>
  <c r="AW36" i="47" s="1"/>
  <c r="AG16" i="47"/>
  <c r="AV36" i="47" s="1"/>
  <c r="A16" i="47"/>
  <c r="AK15" i="47"/>
  <c r="AW35" i="47" s="1"/>
  <c r="AG15" i="47"/>
  <c r="AV35" i="47" s="1"/>
  <c r="A15" i="47"/>
  <c r="DR13" i="47"/>
  <c r="DQ13" i="47"/>
  <c r="DP13" i="47"/>
  <c r="DO13" i="47"/>
  <c r="DN13" i="47"/>
  <c r="DM13" i="47"/>
  <c r="DL13" i="47"/>
  <c r="DK13" i="47"/>
  <c r="DJ13" i="47"/>
  <c r="DI13" i="47"/>
  <c r="DH13" i="47"/>
  <c r="DG13" i="47"/>
  <c r="DF13" i="47"/>
  <c r="DE13" i="47"/>
  <c r="DD13" i="47"/>
  <c r="DC13" i="47"/>
  <c r="DB13" i="47"/>
  <c r="DA13" i="47"/>
  <c r="CZ13" i="47"/>
  <c r="CY13" i="47"/>
  <c r="CX13" i="47"/>
  <c r="CW13" i="47"/>
  <c r="CV13" i="47"/>
  <c r="CU13" i="47"/>
  <c r="CT13" i="47"/>
  <c r="CQ13" i="47"/>
  <c r="CP13" i="47"/>
  <c r="CO13" i="47"/>
  <c r="CN13" i="47"/>
  <c r="CM13" i="47"/>
  <c r="CL13" i="47"/>
  <c r="CK13" i="47"/>
  <c r="CJ13" i="47"/>
  <c r="CI13" i="47"/>
  <c r="CH13" i="47"/>
  <c r="CG13" i="47"/>
  <c r="CF13" i="47"/>
  <c r="CE13" i="47"/>
  <c r="CD13" i="47"/>
  <c r="CC13" i="47"/>
  <c r="CB13" i="47"/>
  <c r="CA13" i="47"/>
  <c r="BZ13" i="47"/>
  <c r="BY13" i="47"/>
  <c r="BX13" i="47"/>
  <c r="BW13" i="47"/>
  <c r="BV13" i="47"/>
  <c r="BU13" i="47"/>
  <c r="BT13" i="47"/>
  <c r="BS13" i="47"/>
  <c r="BR13" i="47"/>
  <c r="BO13" i="47"/>
  <c r="BN13" i="47"/>
  <c r="BM13" i="47"/>
  <c r="BL13" i="47"/>
  <c r="BK13" i="47"/>
  <c r="BJ13" i="47"/>
  <c r="BI13" i="47"/>
  <c r="BH13" i="47"/>
  <c r="BG13" i="47"/>
  <c r="BF13" i="47"/>
  <c r="BE13" i="47"/>
  <c r="BD13" i="47"/>
  <c r="BC13" i="47"/>
  <c r="BB13" i="47"/>
  <c r="BA13" i="47"/>
  <c r="AZ13" i="47"/>
  <c r="AY13" i="47"/>
  <c r="AX13" i="47"/>
  <c r="AW13" i="47"/>
  <c r="AV13" i="47"/>
  <c r="AU13" i="47"/>
  <c r="AT13" i="47"/>
  <c r="AS13" i="47"/>
  <c r="AR13" i="47"/>
  <c r="AQ13" i="47"/>
  <c r="I12" i="47"/>
  <c r="G11" i="47"/>
  <c r="AS45" i="47" l="1"/>
  <c r="I23" i="47"/>
  <c r="Q23" i="47" s="1"/>
  <c r="U23" i="47" s="1"/>
  <c r="AS36" i="47"/>
  <c r="AS38" i="47"/>
  <c r="AS39" i="47"/>
  <c r="AS37" i="47"/>
  <c r="E63" i="47"/>
  <c r="E23" i="47"/>
  <c r="AS44" i="47"/>
  <c r="AJ61" i="47"/>
  <c r="A61" i="47" s="1"/>
  <c r="E61" i="47" s="1"/>
  <c r="AS41" i="47"/>
  <c r="AC74" i="47"/>
  <c r="AC75" i="47" s="1"/>
  <c r="AC72" i="47"/>
  <c r="AC76" i="47"/>
  <c r="AC69" i="47"/>
  <c r="AC63" i="47"/>
  <c r="AC73" i="47"/>
  <c r="AC70" i="47"/>
  <c r="AC64" i="47"/>
  <c r="AC65" i="47" s="1"/>
  <c r="AC66" i="47" s="1"/>
  <c r="AJ55" i="47"/>
  <c r="A55" i="47" s="1"/>
  <c r="AJ63" i="47"/>
  <c r="AC67" i="47"/>
  <c r="AC68" i="47" s="1"/>
  <c r="AJ69" i="47"/>
  <c r="A69" i="47" s="1"/>
  <c r="E69" i="47" s="1"/>
  <c r="AC71" i="47"/>
  <c r="AC56" i="47"/>
  <c r="AC57" i="47" s="1"/>
  <c r="AC58" i="47" s="1"/>
  <c r="AC59" i="47" s="1"/>
  <c r="AC60" i="47" s="1"/>
  <c r="AC61" i="47" s="1"/>
  <c r="AC62" i="47" s="1"/>
  <c r="AJ59" i="47"/>
  <c r="A59" i="47" s="1"/>
  <c r="E59" i="47" s="1"/>
  <c r="AJ75" i="47"/>
  <c r="A75" i="47" s="1"/>
  <c r="E75" i="47" s="1"/>
  <c r="AJ73" i="47"/>
  <c r="A73" i="47" s="1"/>
  <c r="E73" i="47" s="1"/>
  <c r="AJ70" i="47"/>
  <c r="A70" i="47" s="1"/>
  <c r="E70" i="47" s="1"/>
  <c r="AJ65" i="47"/>
  <c r="AJ64" i="47"/>
  <c r="A64" i="47" s="1"/>
  <c r="E64" i="47" s="1"/>
  <c r="AJ71" i="47"/>
  <c r="A71" i="47" s="1"/>
  <c r="E71" i="47" s="1"/>
  <c r="AJ67" i="47"/>
  <c r="A67" i="47" s="1"/>
  <c r="E67" i="47" s="1"/>
  <c r="AJ66" i="47"/>
  <c r="A66" i="47" s="1"/>
  <c r="E66" i="47" s="1"/>
  <c r="AJ62" i="47"/>
  <c r="A62" i="47" s="1"/>
  <c r="E62" i="47" s="1"/>
  <c r="AJ60" i="47"/>
  <c r="A60" i="47" s="1"/>
  <c r="E60" i="47" s="1"/>
  <c r="AJ58" i="47"/>
  <c r="A58" i="47" s="1"/>
  <c r="E58" i="47" s="1"/>
  <c r="AJ56" i="47"/>
  <c r="A56" i="47" s="1"/>
  <c r="E56" i="47" s="1"/>
  <c r="AJ74" i="47"/>
  <c r="A74" i="47" s="1"/>
  <c r="E74" i="47" s="1"/>
  <c r="AJ72" i="47"/>
  <c r="A72" i="47" s="1"/>
  <c r="E72" i="47" s="1"/>
  <c r="AJ68" i="47"/>
  <c r="A68" i="47" s="1"/>
  <c r="E68" i="47" s="1"/>
  <c r="AS35" i="47"/>
  <c r="Q24" i="47"/>
  <c r="U24" i="47" s="1"/>
  <c r="AS46" i="47"/>
  <c r="E24" i="47"/>
  <c r="AS40" i="47"/>
  <c r="AJ57" i="47"/>
  <c r="A57" i="47" s="1"/>
  <c r="E57" i="47" s="1"/>
  <c r="I22" i="47" l="1"/>
  <c r="Q22" i="47" s="1"/>
  <c r="I19" i="47"/>
  <c r="Q19" i="47" s="1"/>
  <c r="I21" i="47"/>
  <c r="Q21" i="47" s="1"/>
  <c r="DY20" i="47" s="1"/>
  <c r="I20" i="47"/>
  <c r="Q20" i="47" s="1"/>
  <c r="I25" i="47"/>
  <c r="Q25" i="47" s="1"/>
  <c r="E22" i="47"/>
  <c r="E21" i="47"/>
  <c r="E17" i="47"/>
  <c r="E15" i="47"/>
  <c r="E18" i="47"/>
  <c r="E19" i="47"/>
  <c r="E16" i="47"/>
  <c r="E20" i="47"/>
  <c r="E55" i="47"/>
  <c r="EO23" i="47"/>
  <c r="EC23" i="47"/>
  <c r="EN23" i="47"/>
  <c r="EB23" i="47"/>
  <c r="EQ23" i="47"/>
  <c r="EP23" i="47"/>
  <c r="ED23" i="47"/>
  <c r="EH22" i="47"/>
  <c r="EG22" i="47"/>
  <c r="DY22" i="47"/>
  <c r="EJ22" i="47"/>
  <c r="DX22" i="47"/>
  <c r="AC23" i="47"/>
  <c r="Y23" i="47"/>
  <c r="DW22" i="47"/>
  <c r="EI22" i="47"/>
  <c r="EP22" i="47"/>
  <c r="ED22" i="47"/>
  <c r="EO22" i="47"/>
  <c r="EC22" i="47"/>
  <c r="EN22" i="47"/>
  <c r="EB22" i="47"/>
  <c r="EQ22" i="47"/>
  <c r="EG23" i="47"/>
  <c r="DY23" i="47"/>
  <c r="EJ23" i="47"/>
  <c r="DX23" i="47"/>
  <c r="AC24" i="47"/>
  <c r="EI23" i="47"/>
  <c r="DW23" i="47"/>
  <c r="Y24" i="47"/>
  <c r="EH23" i="47"/>
  <c r="U25" i="47" l="1"/>
  <c r="EP24" i="47" s="1"/>
  <c r="AC25" i="47"/>
  <c r="DW21" i="47"/>
  <c r="DX21" i="47"/>
  <c r="EJ21" i="47"/>
  <c r="EH21" i="47"/>
  <c r="EG21" i="47"/>
  <c r="EI21" i="47"/>
  <c r="DY21" i="47"/>
  <c r="ES23" i="47"/>
  <c r="ET23" i="47" s="1"/>
  <c r="EG19" i="47"/>
  <c r="EJ19" i="47"/>
  <c r="EI19" i="47"/>
  <c r="ES22" i="47"/>
  <c r="ET22" i="47" s="1"/>
  <c r="DW20" i="47"/>
  <c r="EH20" i="47"/>
  <c r="EH19" i="47"/>
  <c r="DX20" i="47"/>
  <c r="DW24" i="47"/>
  <c r="DW19" i="47"/>
  <c r="EJ20" i="47"/>
  <c r="DY19" i="47"/>
  <c r="EJ24" i="47"/>
  <c r="DZ22" i="47"/>
  <c r="EA22" i="47" s="1"/>
  <c r="DX19" i="47"/>
  <c r="EH24" i="47"/>
  <c r="BA52" i="47"/>
  <c r="BB52" i="47" s="1"/>
  <c r="BA48" i="47"/>
  <c r="BB48" i="47" s="1"/>
  <c r="BA44" i="47"/>
  <c r="BB44" i="47" s="1"/>
  <c r="BD50" i="47" s="1"/>
  <c r="BA38" i="47"/>
  <c r="BB38" i="47" s="1"/>
  <c r="BD46" i="47" s="1"/>
  <c r="BA49" i="47"/>
  <c r="BB49" i="47" s="1"/>
  <c r="BA35" i="47"/>
  <c r="BB35" i="47" s="1"/>
  <c r="BA51" i="47"/>
  <c r="BB51" i="47" s="1"/>
  <c r="BA47" i="47"/>
  <c r="BB47" i="47" s="1"/>
  <c r="BA41" i="47"/>
  <c r="BB41" i="47" s="1"/>
  <c r="BA37" i="47"/>
  <c r="BB37" i="47" s="1"/>
  <c r="BA39" i="47"/>
  <c r="BB39" i="47" s="1"/>
  <c r="BA50" i="47"/>
  <c r="BB50" i="47" s="1"/>
  <c r="BD41" i="47" s="1"/>
  <c r="BA46" i="47"/>
  <c r="BB46" i="47" s="1"/>
  <c r="BA40" i="47"/>
  <c r="BB40" i="47" s="1"/>
  <c r="BD48" i="47" s="1"/>
  <c r="BA36" i="47"/>
  <c r="BB36" i="47" s="1"/>
  <c r="BA45" i="47"/>
  <c r="BB45" i="47" s="1"/>
  <c r="Y25" i="47"/>
  <c r="DW18" i="47"/>
  <c r="DX24" i="47"/>
  <c r="EC24" i="47"/>
  <c r="EQ24" i="47"/>
  <c r="EO24" i="47"/>
  <c r="EI24" i="47"/>
  <c r="DY24" i="47"/>
  <c r="DX18" i="47"/>
  <c r="EB24" i="47"/>
  <c r="ED24" i="47"/>
  <c r="EG24" i="47"/>
  <c r="EG20" i="47"/>
  <c r="EI20" i="47"/>
  <c r="DY18" i="47"/>
  <c r="EN24" i="47"/>
  <c r="AP67" i="47"/>
  <c r="AG65" i="47" s="1"/>
  <c r="AG66" i="47" s="1"/>
  <c r="I16" i="47" s="1"/>
  <c r="Q16" i="47" s="1"/>
  <c r="DY15" i="47" s="1"/>
  <c r="AP66" i="47"/>
  <c r="AG63" i="47" s="1"/>
  <c r="AG64" i="47" s="1"/>
  <c r="I17" i="47" s="1"/>
  <c r="Q17" i="47" s="1"/>
  <c r="DW16" i="47" s="1"/>
  <c r="EL23" i="47"/>
  <c r="EM23" i="47" s="1"/>
  <c r="EL21" i="47"/>
  <c r="EM21" i="47" s="1"/>
  <c r="EK21" i="47"/>
  <c r="Y22" i="47" s="1"/>
  <c r="ER22" i="47"/>
  <c r="EK22" i="47"/>
  <c r="EE22" i="47"/>
  <c r="EF22" i="47" s="1"/>
  <c r="ER23" i="47"/>
  <c r="DZ21" i="47"/>
  <c r="EA21" i="47" s="1"/>
  <c r="EK23" i="47"/>
  <c r="EL22" i="47"/>
  <c r="EM22" i="47" s="1"/>
  <c r="EE23" i="47"/>
  <c r="EF23" i="47" s="1"/>
  <c r="DZ23" i="47"/>
  <c r="EA23" i="47" s="1"/>
  <c r="DX15" i="47" l="1"/>
  <c r="Y16" i="47"/>
  <c r="DW15" i="47"/>
  <c r="I18" i="47"/>
  <c r="Q18" i="47" s="1"/>
  <c r="DY17" i="47" s="1"/>
  <c r="I15" i="47"/>
  <c r="Q15" i="47" s="1"/>
  <c r="AU49" i="47" s="1"/>
  <c r="AU50" i="47" s="1"/>
  <c r="AU56" i="47" s="1"/>
  <c r="F46" i="47" s="1"/>
  <c r="EK19" i="47"/>
  <c r="Y20" i="47" s="1"/>
  <c r="DZ15" i="47"/>
  <c r="EA15" i="47" s="1"/>
  <c r="EE24" i="47"/>
  <c r="EF24" i="47" s="1"/>
  <c r="EL19" i="47"/>
  <c r="EM19" i="47" s="1"/>
  <c r="EI16" i="47"/>
  <c r="EG16" i="47"/>
  <c r="DX17" i="47"/>
  <c r="DY16" i="47"/>
  <c r="EH16" i="47"/>
  <c r="EJ16" i="47"/>
  <c r="DW17" i="47"/>
  <c r="DX16" i="47"/>
  <c r="DZ16" i="47" s="1"/>
  <c r="EA16" i="47" s="1"/>
  <c r="DZ20" i="47"/>
  <c r="EA20" i="47" s="1"/>
  <c r="EL20" i="47"/>
  <c r="EM20" i="47" s="1"/>
  <c r="EK20" i="47"/>
  <c r="Y21" i="47" s="1"/>
  <c r="EL24" i="47"/>
  <c r="EM24" i="47" s="1"/>
  <c r="DZ24" i="47"/>
  <c r="EA24" i="47" s="1"/>
  <c r="DZ19" i="47"/>
  <c r="EA19" i="47" s="1"/>
  <c r="Y19" i="47"/>
  <c r="DZ18" i="47"/>
  <c r="EA18" i="47" s="1"/>
  <c r="EK24" i="47"/>
  <c r="ER24" i="47"/>
  <c r="BD45" i="47"/>
  <c r="BD37" i="47"/>
  <c r="BD44" i="47"/>
  <c r="ES24" i="47"/>
  <c r="ET24" i="47" s="1"/>
  <c r="BD35" i="47"/>
  <c r="BD47" i="47"/>
  <c r="BD40" i="47"/>
  <c r="BD39" i="47"/>
  <c r="BD38" i="47"/>
  <c r="BD49" i="47"/>
  <c r="BD36" i="47"/>
  <c r="DX14" i="47" l="1"/>
  <c r="DY14" i="47"/>
  <c r="AP13" i="47"/>
  <c r="DW14" i="47"/>
  <c r="Y15" i="47" s="1"/>
  <c r="U15" i="47"/>
  <c r="U16" i="47" s="1"/>
  <c r="U17" i="47" s="1"/>
  <c r="U18" i="47" s="1"/>
  <c r="U19" i="47" s="1"/>
  <c r="U20" i="47" s="1"/>
  <c r="U21" i="47" s="1"/>
  <c r="U22" i="47" s="1"/>
  <c r="EB21" i="47" s="1"/>
  <c r="EL16" i="47"/>
  <c r="EM16" i="47" s="1"/>
  <c r="EK16" i="47"/>
  <c r="Y17" i="47" s="1"/>
  <c r="DZ17" i="47"/>
  <c r="EA17" i="47" s="1"/>
  <c r="Y18" i="47" s="1"/>
  <c r="EP21" i="47"/>
  <c r="EP19" i="47"/>
  <c r="ED19" i="47"/>
  <c r="EC19" i="47"/>
  <c r="EB18" i="47"/>
  <c r="ED17" i="47"/>
  <c r="EB17" i="47"/>
  <c r="AC18" i="47" s="1"/>
  <c r="EC16" i="47"/>
  <c r="EN16" i="47"/>
  <c r="EP16" i="47"/>
  <c r="EQ16" i="47"/>
  <c r="EO16" i="47"/>
  <c r="EB16" i="47"/>
  <c r="ED16" i="47"/>
  <c r="EB15" i="47"/>
  <c r="ED15" i="47"/>
  <c r="EC15" i="47"/>
  <c r="EB14" i="47"/>
  <c r="EC14" i="47"/>
  <c r="ED14" i="47"/>
  <c r="AU51" i="47"/>
  <c r="AU52" i="47" s="1"/>
  <c r="AU53" i="47" s="1"/>
  <c r="AU54" i="47" s="1"/>
  <c r="AU55" i="47" s="1"/>
  <c r="DZ14" i="47" l="1"/>
  <c r="EA14" i="47" s="1"/>
  <c r="EB19" i="47"/>
  <c r="EP20" i="47"/>
  <c r="EQ20" i="47"/>
  <c r="EB20" i="47"/>
  <c r="EQ21" i="47"/>
  <c r="ED18" i="47"/>
  <c r="EQ19" i="47"/>
  <c r="ES19" i="47" s="1"/>
  <c r="ET19" i="47" s="1"/>
  <c r="EC20" i="47"/>
  <c r="EN21" i="47"/>
  <c r="EO19" i="47"/>
  <c r="EN20" i="47"/>
  <c r="ER20" i="47" s="1"/>
  <c r="AC21" i="47" s="1"/>
  <c r="EC21" i="47"/>
  <c r="EE21" i="47" s="1"/>
  <c r="EF21" i="47" s="1"/>
  <c r="ED21" i="47"/>
  <c r="EC17" i="47"/>
  <c r="EE17" i="47" s="1"/>
  <c r="EF17" i="47" s="1"/>
  <c r="EC18" i="47"/>
  <c r="EE18" i="47" s="1"/>
  <c r="EF18" i="47" s="1"/>
  <c r="AC19" i="47" s="1"/>
  <c r="EN19" i="47"/>
  <c r="EO20" i="47"/>
  <c r="ED20" i="47"/>
  <c r="EO21" i="47"/>
  <c r="ER21" i="47" s="1"/>
  <c r="AC22" i="47" s="1"/>
  <c r="EE20" i="47"/>
  <c r="EF20" i="47" s="1"/>
  <c r="AC16" i="47"/>
  <c r="AC15" i="47"/>
  <c r="ER19" i="47"/>
  <c r="AC20" i="47" s="1"/>
  <c r="EE19" i="47"/>
  <c r="EF19" i="47" s="1"/>
  <c r="ES16" i="47"/>
  <c r="ET16" i="47" s="1"/>
  <c r="EE16" i="47"/>
  <c r="EF16" i="47" s="1"/>
  <c r="EE15" i="47"/>
  <c r="EF15" i="47" s="1"/>
  <c r="ER16" i="47"/>
  <c r="AC17" i="47" s="1"/>
  <c r="EE14" i="47"/>
  <c r="EF14" i="47" s="1"/>
  <c r="ES20" i="47" l="1"/>
  <c r="ET20" i="47" s="1"/>
  <c r="ES21" i="47"/>
  <c r="ET21" i="47" s="1"/>
  <c r="G56" i="31"/>
  <c r="E56" i="31"/>
  <c r="E46" i="31"/>
  <c r="L37" i="31"/>
  <c r="H33" i="31"/>
  <c r="H32" i="31"/>
  <c r="H9" i="31"/>
  <c r="B9" i="31"/>
  <c r="H8" i="31"/>
  <c r="D8" i="31"/>
  <c r="B8" i="31"/>
  <c r="H7" i="31"/>
  <c r="D7" i="31"/>
  <c r="B7" i="31"/>
  <c r="B6" i="31"/>
  <c r="AL86" i="29"/>
  <c r="AL85" i="29"/>
  <c r="AL84" i="29"/>
  <c r="AL83" i="29"/>
  <c r="AP56" i="29"/>
  <c r="AN56" i="29"/>
  <c r="AL56" i="29"/>
  <c r="E52" i="29"/>
  <c r="E51" i="29"/>
  <c r="E50" i="29"/>
  <c r="E49" i="29"/>
  <c r="E48" i="29"/>
  <c r="AW47" i="29"/>
  <c r="E47" i="31" s="1"/>
  <c r="E47" i="29"/>
  <c r="AW46" i="29"/>
  <c r="E46" i="29"/>
  <c r="AW45" i="29"/>
  <c r="E45" i="31" s="1"/>
  <c r="E45" i="29"/>
  <c r="E44" i="29"/>
  <c r="E43" i="29"/>
  <c r="E42" i="29"/>
  <c r="E41" i="29"/>
  <c r="R38" i="29"/>
  <c r="AP28" i="29"/>
  <c r="AN28" i="29"/>
  <c r="AL28" i="29"/>
  <c r="AP27" i="29"/>
  <c r="AQ27" i="29" s="1"/>
  <c r="AN27" i="29"/>
  <c r="AO27" i="29" s="1"/>
  <c r="AL27" i="29"/>
  <c r="AM27" i="29" s="1"/>
  <c r="AK27" i="29"/>
  <c r="AP26" i="29"/>
  <c r="AQ26" i="29" s="1"/>
  <c r="AN26" i="29"/>
  <c r="AO26" i="29" s="1"/>
  <c r="AL26" i="29"/>
  <c r="AM26" i="29" s="1"/>
  <c r="AK26" i="29"/>
  <c r="AP25" i="29"/>
  <c r="AQ25" i="29" s="1"/>
  <c r="AN25" i="29"/>
  <c r="AO25" i="29" s="1"/>
  <c r="AM25" i="29"/>
  <c r="AL25" i="29"/>
  <c r="AK25" i="29"/>
  <c r="AP24" i="29"/>
  <c r="AQ24" i="29" s="1"/>
  <c r="AP30" i="29" s="1"/>
  <c r="AY29" i="29" s="1"/>
  <c r="AO24" i="29"/>
  <c r="AN30" i="29" s="1"/>
  <c r="AX29" i="29" s="1"/>
  <c r="AN24" i="29"/>
  <c r="AL24" i="29"/>
  <c r="AM24" i="29" s="1"/>
  <c r="AL30" i="29" s="1"/>
  <c r="AW29" i="29" s="1"/>
  <c r="AK24" i="29"/>
  <c r="AP23" i="29"/>
  <c r="AQ23" i="29" s="1"/>
  <c r="AN23" i="29"/>
  <c r="AO23" i="29" s="1"/>
  <c r="AL23" i="29"/>
  <c r="AM23" i="29" s="1"/>
  <c r="AK23" i="29"/>
  <c r="AZ22" i="29"/>
  <c r="H22" i="31" s="1"/>
  <c r="AX22" i="29"/>
  <c r="G22" i="31" s="1"/>
  <c r="AW22" i="29"/>
  <c r="F22" i="31" s="1"/>
  <c r="AP22" i="29"/>
  <c r="AQ22" i="29" s="1"/>
  <c r="AN22" i="29"/>
  <c r="AO22" i="29" s="1"/>
  <c r="AL22" i="29"/>
  <c r="AM22" i="29" s="1"/>
  <c r="AK22" i="29"/>
  <c r="AP21" i="29"/>
  <c r="AQ21" i="29" s="1"/>
  <c r="AN21" i="29"/>
  <c r="AO21" i="29" s="1"/>
  <c r="AL21" i="29"/>
  <c r="AM21" i="29" s="1"/>
  <c r="AK21" i="29"/>
  <c r="AZ20" i="29"/>
  <c r="AZ23" i="29" s="1"/>
  <c r="H23" i="31" s="1"/>
  <c r="AX20" i="29"/>
  <c r="AX23" i="29" s="1"/>
  <c r="G23" i="31" s="1"/>
  <c r="AW20" i="29"/>
  <c r="F20" i="31" s="1"/>
  <c r="AP20" i="29"/>
  <c r="AQ20" i="29" s="1"/>
  <c r="AP29" i="29" s="1"/>
  <c r="AY28" i="29" s="1"/>
  <c r="H28" i="31" s="1"/>
  <c r="AO20" i="29"/>
  <c r="AN29" i="29" s="1"/>
  <c r="AX28" i="29" s="1"/>
  <c r="G28" i="31" s="1"/>
  <c r="AN20" i="29"/>
  <c r="AL20" i="29"/>
  <c r="AM20" i="29" s="1"/>
  <c r="AL29" i="29" s="1"/>
  <c r="AW28" i="29" s="1"/>
  <c r="F28" i="31" s="1"/>
  <c r="AK20" i="29"/>
  <c r="AZ19" i="29"/>
  <c r="AZ21" i="29" s="1"/>
  <c r="AZ24" i="29" s="1"/>
  <c r="H24" i="31" s="1"/>
  <c r="AX19" i="29"/>
  <c r="AX21" i="29" s="1"/>
  <c r="G21" i="31" s="1"/>
  <c r="AW19" i="29"/>
  <c r="AW21" i="29" s="1"/>
  <c r="AP19" i="29"/>
  <c r="AQ19" i="29" s="1"/>
  <c r="AN19" i="29"/>
  <c r="AO19" i="29" s="1"/>
  <c r="AL19" i="29"/>
  <c r="AM19" i="29" s="1"/>
  <c r="AK19" i="29"/>
  <c r="AP18" i="29"/>
  <c r="AQ18" i="29" s="1"/>
  <c r="AN18" i="29"/>
  <c r="AO18" i="29" s="1"/>
  <c r="AL18" i="29"/>
  <c r="AM18" i="29" s="1"/>
  <c r="AK18" i="29"/>
  <c r="AP17" i="29"/>
  <c r="AQ17" i="29" s="1"/>
  <c r="AN17" i="29"/>
  <c r="AO17" i="29" s="1"/>
  <c r="AL17" i="29"/>
  <c r="AM17" i="29" s="1"/>
  <c r="AK17" i="29"/>
  <c r="AP16" i="29"/>
  <c r="AQ16" i="29" s="1"/>
  <c r="AN16" i="29"/>
  <c r="AO16" i="29" s="1"/>
  <c r="AL16" i="29"/>
  <c r="AM16" i="29" s="1"/>
  <c r="AZ15" i="29"/>
  <c r="H15" i="31" s="1"/>
  <c r="AX15" i="29"/>
  <c r="G15" i="31" s="1"/>
  <c r="AW15" i="29"/>
  <c r="F15" i="31" s="1"/>
  <c r="AZ13" i="29"/>
  <c r="H13" i="31" s="1"/>
  <c r="AX13" i="29"/>
  <c r="G13" i="31" s="1"/>
  <c r="AW13" i="29"/>
  <c r="F13" i="31" s="1"/>
  <c r="AP13" i="29"/>
  <c r="AN13" i="29"/>
  <c r="AL13" i="29"/>
  <c r="AZ12" i="29"/>
  <c r="AX12" i="29"/>
  <c r="AW12" i="29"/>
  <c r="AW14" i="29" s="1"/>
  <c r="AW17" i="29" s="1"/>
  <c r="F17" i="31" s="1"/>
  <c r="AP12" i="29"/>
  <c r="AN12" i="29"/>
  <c r="AX11" i="29" s="1"/>
  <c r="G11" i="31" s="1"/>
  <c r="AL12" i="29"/>
  <c r="AW11" i="29" s="1"/>
  <c r="F11" i="31" s="1"/>
  <c r="AZ11" i="29"/>
  <c r="H11" i="31" s="1"/>
  <c r="AQ10" i="29"/>
  <c r="AN10" i="29"/>
  <c r="AL10" i="29"/>
  <c r="AQ9" i="29"/>
  <c r="AL9" i="29"/>
  <c r="AS9" i="29" s="1"/>
  <c r="AQ8" i="29"/>
  <c r="AZ9" i="29" s="1"/>
  <c r="AN8" i="29"/>
  <c r="AL8" i="29"/>
  <c r="AS8" i="29" s="1"/>
  <c r="AZ7" i="29"/>
  <c r="AQ7" i="29"/>
  <c r="AZ8" i="29" s="1"/>
  <c r="AN7" i="29"/>
  <c r="AL7" i="29"/>
  <c r="AS7" i="29" s="1"/>
  <c r="AL6" i="29"/>
  <c r="AS6" i="29" s="1"/>
  <c r="I43" i="30"/>
  <c r="F43" i="30"/>
  <c r="C43" i="30"/>
  <c r="E35" i="30"/>
  <c r="E33" i="30"/>
  <c r="Q39" i="30" s="1"/>
  <c r="G31" i="30"/>
  <c r="E31" i="30"/>
  <c r="T23" i="30"/>
  <c r="T25" i="30" s="1"/>
  <c r="S23" i="30"/>
  <c r="S25" i="30" s="1"/>
  <c r="R23" i="30"/>
  <c r="R25" i="30" s="1"/>
  <c r="Q23" i="30"/>
  <c r="Q25" i="30" s="1"/>
  <c r="P23" i="30"/>
  <c r="P25" i="30" s="1"/>
  <c r="T21" i="30"/>
  <c r="T24" i="30" s="1"/>
  <c r="T13" i="30" s="1"/>
  <c r="S21" i="30"/>
  <c r="S24" i="30" s="1"/>
  <c r="S13" i="30" s="1"/>
  <c r="R21" i="30"/>
  <c r="R24" i="30" s="1"/>
  <c r="R13" i="30" s="1"/>
  <c r="Q43" i="30" s="1"/>
  <c r="Q21" i="30"/>
  <c r="Q24" i="30" s="1"/>
  <c r="Q13" i="30" s="1"/>
  <c r="P21" i="30"/>
  <c r="P24" i="30" s="1"/>
  <c r="P13" i="30" s="1"/>
  <c r="S31" i="30" s="1"/>
  <c r="T17" i="30"/>
  <c r="S17" i="30"/>
  <c r="R17" i="30"/>
  <c r="Q17" i="30"/>
  <c r="T16" i="30"/>
  <c r="S16" i="30"/>
  <c r="R16" i="30"/>
  <c r="Q16" i="30"/>
  <c r="P12" i="30"/>
  <c r="P11" i="30"/>
  <c r="J9" i="30"/>
  <c r="B9" i="30"/>
  <c r="P8" i="30"/>
  <c r="J8" i="30"/>
  <c r="G8" i="30"/>
  <c r="B8" i="30"/>
  <c r="P7" i="30"/>
  <c r="P9" i="30" s="1"/>
  <c r="J7" i="30"/>
  <c r="G7" i="30"/>
  <c r="B7" i="30"/>
  <c r="B6" i="30"/>
  <c r="AK30" i="28"/>
  <c r="W30" i="28"/>
  <c r="L30" i="28"/>
  <c r="R24" i="28"/>
  <c r="AD16" i="28"/>
  <c r="AM9" i="28"/>
  <c r="F9" i="28"/>
  <c r="AM8" i="28"/>
  <c r="U8" i="28"/>
  <c r="F8" i="28"/>
  <c r="AM7" i="28"/>
  <c r="U7" i="28"/>
  <c r="F7" i="28"/>
  <c r="F6" i="28"/>
  <c r="Y44" i="27"/>
  <c r="M44" i="27"/>
  <c r="G44" i="27"/>
  <c r="W37" i="27"/>
  <c r="J37" i="27"/>
  <c r="AM36" i="27"/>
  <c r="G36" i="27" s="1"/>
  <c r="AK36" i="27"/>
  <c r="E36" i="27" s="1"/>
  <c r="H36" i="27" s="1"/>
  <c r="AC36" i="27"/>
  <c r="P36" i="27"/>
  <c r="AM35" i="27"/>
  <c r="G35" i="27" s="1"/>
  <c r="AK35" i="27"/>
  <c r="AC35" i="27"/>
  <c r="P35" i="27"/>
  <c r="E35" i="27"/>
  <c r="H35" i="27" s="1"/>
  <c r="AM34" i="27"/>
  <c r="G34" i="27" s="1"/>
  <c r="AK34" i="27"/>
  <c r="E34" i="27" s="1"/>
  <c r="H34" i="27" s="1"/>
  <c r="AC34" i="27"/>
  <c r="P34" i="27"/>
  <c r="AM33" i="27"/>
  <c r="AK33" i="27"/>
  <c r="E33" i="27" s="1"/>
  <c r="H33" i="27" s="1"/>
  <c r="AC33" i="27"/>
  <c r="P33" i="27"/>
  <c r="G33" i="27"/>
  <c r="AM32" i="27"/>
  <c r="AK32" i="27"/>
  <c r="E32" i="27" s="1"/>
  <c r="H32" i="27" s="1"/>
  <c r="AC32" i="27"/>
  <c r="P32" i="27"/>
  <c r="G32" i="27"/>
  <c r="AM31" i="27"/>
  <c r="G31" i="27" s="1"/>
  <c r="AK31" i="27"/>
  <c r="AC31" i="27"/>
  <c r="P31" i="27"/>
  <c r="E31" i="27"/>
  <c r="H31" i="27" s="1"/>
  <c r="AM30" i="27"/>
  <c r="G30" i="27" s="1"/>
  <c r="AK30" i="27"/>
  <c r="E30" i="27" s="1"/>
  <c r="AC30" i="27"/>
  <c r="P30" i="27"/>
  <c r="AF25" i="27"/>
  <c r="AF24" i="27"/>
  <c r="AF26" i="27" s="1"/>
  <c r="J24" i="27"/>
  <c r="R20" i="27"/>
  <c r="R18" i="27"/>
  <c r="I18" i="27"/>
  <c r="R14" i="27"/>
  <c r="I14" i="27"/>
  <c r="I20" i="27" s="1"/>
  <c r="AD9" i="27"/>
  <c r="E9" i="27"/>
  <c r="AD8" i="27"/>
  <c r="M8" i="27"/>
  <c r="E8" i="27"/>
  <c r="AD7" i="27"/>
  <c r="M7" i="27"/>
  <c r="E7" i="27"/>
  <c r="E6" i="27"/>
  <c r="I32" i="41"/>
  <c r="F32" i="41"/>
  <c r="C32" i="41"/>
  <c r="H26" i="41"/>
  <c r="P21" i="41"/>
  <c r="J12" i="41"/>
  <c r="G12" i="41"/>
  <c r="J10" i="41"/>
  <c r="D10" i="41"/>
  <c r="D9" i="41"/>
  <c r="D8" i="41"/>
  <c r="D6" i="41"/>
  <c r="J8" i="41" s="1"/>
  <c r="I24" i="22"/>
  <c r="F24" i="22"/>
  <c r="D24" i="22"/>
  <c r="J16" i="22"/>
  <c r="J17" i="22" s="1"/>
  <c r="H16" i="22"/>
  <c r="H17" i="22" s="1"/>
  <c r="H18" i="22" s="1"/>
  <c r="J13" i="22"/>
  <c r="H13" i="22"/>
  <c r="I9" i="22"/>
  <c r="B9" i="22"/>
  <c r="E8" i="22"/>
  <c r="B8" i="22"/>
  <c r="I7" i="22"/>
  <c r="E7" i="22"/>
  <c r="B7" i="22"/>
  <c r="B6" i="22"/>
  <c r="AC45" i="21"/>
  <c r="R45" i="21"/>
  <c r="I45" i="21"/>
  <c r="AL30" i="21"/>
  <c r="AP26" i="21"/>
  <c r="AO23" i="21"/>
  <c r="AO22" i="21"/>
  <c r="AO21" i="21"/>
  <c r="AO20" i="21"/>
  <c r="AO19" i="21"/>
  <c r="AO18" i="21"/>
  <c r="AO17" i="21"/>
  <c r="AO16" i="21"/>
  <c r="AO15" i="21"/>
  <c r="Y15" i="21"/>
  <c r="AO14" i="21"/>
  <c r="AO13" i="21"/>
  <c r="AO12" i="21"/>
  <c r="AO11" i="21"/>
  <c r="AO10" i="21"/>
  <c r="AO9" i="21"/>
  <c r="AE9" i="21"/>
  <c r="E9" i="21"/>
  <c r="AO8" i="21"/>
  <c r="P8" i="21"/>
  <c r="E8" i="21"/>
  <c r="AO7" i="21"/>
  <c r="AE7" i="21"/>
  <c r="P7" i="21"/>
  <c r="E7" i="21"/>
  <c r="AO6" i="21"/>
  <c r="E6" i="21"/>
  <c r="T39" i="20"/>
  <c r="L39" i="20"/>
  <c r="F39" i="20"/>
  <c r="U18" i="20"/>
  <c r="O19" i="20" s="1"/>
  <c r="O18" i="20"/>
  <c r="O20" i="20" s="1"/>
  <c r="O17" i="20"/>
  <c r="O12" i="20"/>
  <c r="W9" i="20"/>
  <c r="D9" i="20"/>
  <c r="W8" i="20"/>
  <c r="L8" i="20"/>
  <c r="D8" i="20"/>
  <c r="W7" i="20"/>
  <c r="L7" i="20"/>
  <c r="D7" i="20"/>
  <c r="D6" i="20"/>
  <c r="AZ14" i="29" l="1"/>
  <c r="F19" i="31"/>
  <c r="G19" i="31"/>
  <c r="AW23" i="29"/>
  <c r="F23" i="31" s="1"/>
  <c r="H12" i="31"/>
  <c r="AM67" i="29"/>
  <c r="H29" i="31"/>
  <c r="F29" i="31"/>
  <c r="AM65" i="29"/>
  <c r="AX24" i="29"/>
  <c r="G24" i="31" s="1"/>
  <c r="AW16" i="29"/>
  <c r="AM66" i="29"/>
  <c r="G29" i="31"/>
  <c r="G20" i="31"/>
  <c r="G12" i="31"/>
  <c r="AX14" i="29"/>
  <c r="AZ17" i="29"/>
  <c r="H14" i="31"/>
  <c r="AZ16" i="29"/>
  <c r="H16" i="31" s="1"/>
  <c r="F14" i="31"/>
  <c r="J33" i="30"/>
  <c r="R31" i="30"/>
  <c r="Q31" i="30"/>
  <c r="T31" i="30"/>
  <c r="P31" i="30"/>
  <c r="AW24" i="29"/>
  <c r="F24" i="31" s="1"/>
  <c r="F21" i="31"/>
  <c r="AW26" i="29"/>
  <c r="H21" i="31"/>
  <c r="F12" i="31"/>
  <c r="H19" i="31"/>
  <c r="H20" i="31"/>
  <c r="G37" i="27"/>
  <c r="H30" i="27"/>
  <c r="H37" i="27" s="1"/>
  <c r="J25" i="27" s="1"/>
  <c r="E37" i="27"/>
  <c r="D7" i="41"/>
  <c r="D12" i="41"/>
  <c r="J7" i="41"/>
  <c r="J9" i="41"/>
  <c r="BA16" i="29" l="1"/>
  <c r="F26" i="31"/>
  <c r="AL65" i="29"/>
  <c r="AL90" i="29" s="1" a="1"/>
  <c r="AW27" i="29"/>
  <c r="F27" i="31" s="1"/>
  <c r="J35" i="30"/>
  <c r="AP64" i="29" s="1"/>
  <c r="J31" i="30"/>
  <c r="Q41" i="30" s="1"/>
  <c r="H17" i="31"/>
  <c r="AY26" i="29"/>
  <c r="F16" i="31"/>
  <c r="BA17" i="29"/>
  <c r="AP90" i="29"/>
  <c r="AO90" i="29"/>
  <c r="G14" i="31"/>
  <c r="AX16" i="29"/>
  <c r="G16" i="31" s="1"/>
  <c r="AX17" i="29"/>
  <c r="AJ38" i="27"/>
  <c r="AE38" i="27"/>
  <c r="J38" i="27"/>
  <c r="AL67" i="29" l="1"/>
  <c r="H26" i="31"/>
  <c r="AY27" i="29"/>
  <c r="H27" i="31" s="1"/>
  <c r="AX26" i="29"/>
  <c r="G17" i="31"/>
  <c r="AL94" i="29"/>
  <c r="AL92" i="29"/>
  <c r="AM74" i="29" s="1"/>
  <c r="AL90" i="29"/>
  <c r="AM72" i="29" s="1"/>
  <c r="AL93" i="29"/>
  <c r="AL91" i="29"/>
  <c r="AM93" i="29"/>
  <c r="AM91" i="29"/>
  <c r="AM90" i="29"/>
  <c r="AM73" i="29" s="1"/>
  <c r="AM94" i="29"/>
  <c r="AM92" i="29"/>
  <c r="AP70" i="29"/>
  <c r="AP71" i="29"/>
  <c r="AP72" i="29"/>
  <c r="AM86" i="29" s="1"/>
  <c r="AP69" i="29"/>
  <c r="AN86" i="29" l="1"/>
  <c r="G26" i="31"/>
  <c r="AX27" i="29"/>
  <c r="G27" i="31" s="1"/>
  <c r="AL66" i="29"/>
  <c r="AL97" i="29" s="1" a="1"/>
  <c r="AM83" i="29"/>
  <c r="AN83" i="29" s="1"/>
  <c r="AZ45" i="29" s="1"/>
  <c r="H45" i="31" s="1"/>
  <c r="AX45" i="29"/>
  <c r="G45" i="31" s="1"/>
  <c r="AX46" i="29"/>
  <c r="G46" i="31" s="1"/>
  <c r="AM84" i="29"/>
  <c r="AN84" i="29" s="1"/>
  <c r="AZ46" i="29" s="1"/>
  <c r="H46" i="31" s="1"/>
  <c r="AX47" i="29"/>
  <c r="G47" i="31" s="1"/>
  <c r="AM85" i="29"/>
  <c r="AM100" i="29" l="1"/>
  <c r="AM98" i="29"/>
  <c r="AM101" i="29"/>
  <c r="AM97" i="29"/>
  <c r="AM77" i="29" s="1"/>
  <c r="AL100" i="29"/>
  <c r="AL98" i="29"/>
  <c r="AM99" i="29"/>
  <c r="AL99" i="29"/>
  <c r="AM78" i="29" s="1"/>
  <c r="AL97" i="29"/>
  <c r="AM76" i="29" s="1"/>
  <c r="AL101" i="29"/>
  <c r="AN85" i="29"/>
  <c r="AZ47" i="29" s="1"/>
  <c r="H47" i="31" s="1"/>
</calcChain>
</file>

<file path=xl/comments1.xml><?xml version="1.0" encoding="utf-8"?>
<comments xmlns="http://schemas.openxmlformats.org/spreadsheetml/2006/main">
  <authors>
    <author>mercy.rivera</author>
  </authors>
  <commentList>
    <comment ref="AP64" authorId="0" shapeId="0">
      <text>
        <r>
          <rPr>
            <sz val="9"/>
            <color indexed="81"/>
            <rFont val="Tahoma"/>
            <family val="2"/>
          </rPr>
          <t xml:space="preserve">INGRESAR EL DATO DE LA DENSIDAD MAXIMA DEL PROCTOR.
</t>
        </r>
      </text>
    </comment>
  </commentList>
</comments>
</file>

<file path=xl/sharedStrings.xml><?xml version="1.0" encoding="utf-8"?>
<sst xmlns="http://schemas.openxmlformats.org/spreadsheetml/2006/main" count="1143" uniqueCount="569">
  <si>
    <t xml:space="preserve"> </t>
  </si>
  <si>
    <t>Superior</t>
  </si>
  <si>
    <t>Inferior</t>
  </si>
  <si>
    <t>milímetros</t>
  </si>
  <si>
    <t xml:space="preserve">Tamiz </t>
  </si>
  <si>
    <t>Cliente:</t>
  </si>
  <si>
    <t>Descripción:</t>
  </si>
  <si>
    <t>FIN DEL INFORME DE ENSAYO</t>
  </si>
  <si>
    <t>INFORME DE ENSAYO</t>
  </si>
  <si>
    <t>Elaboró:</t>
  </si>
  <si>
    <t>Revisó:</t>
  </si>
  <si>
    <t>Aprobó:</t>
  </si>
  <si>
    <t>Firma:</t>
  </si>
  <si>
    <t>Cargo:</t>
  </si>
  <si>
    <t xml:space="preserve">Los resultados presentados corresponden únicamente a la muestra sometida a ensayo. Este informe no puede ser reproducido en su totalidad ni parcialmente, sin la autorización escrita del laboratorio  de Calidad de suelos  Asfaltos y pavimentos de la UAERMV. </t>
  </si>
  <si>
    <t>Laboratorio de calidad de suelos Asfaltos y pavimentos de la UAERMV 
Sede de Producción Parque Minero Industrial El Mochuelo Kilometro 3 vía Pasquilla localidad Ciudad Bolívar, Bogotá D.C. - Colombia
Tel: 3779555 Ext. 1145   E- mail: p.laboratorio@umv.gov.co</t>
  </si>
  <si>
    <t>Material</t>
  </si>
  <si>
    <t>Procedencia:</t>
  </si>
  <si>
    <t>Código:</t>
  </si>
  <si>
    <t>Observaciones:</t>
  </si>
  <si>
    <t>Responsable</t>
  </si>
  <si>
    <t>Revisó</t>
  </si>
  <si>
    <t>Aprobó</t>
  </si>
  <si>
    <t>FIN DEL INFORME DE  ENSAYO</t>
  </si>
  <si>
    <t xml:space="preserve">Los resultados presentados corresponden únicamente a la muestra sometida a ensayo. Este informe no puede ser reproducido en su totalidad ni parcialmente, sin la autorización escrita del laboratorio  de Calidad de suelos, asfaltos y pavimentos de la UAERMV. </t>
  </si>
  <si>
    <t>FECHA DE APLICACIÓN: 2018-03-01</t>
  </si>
  <si>
    <t>BG_C</t>
  </si>
  <si>
    <t>BG_B</t>
  </si>
  <si>
    <t xml:space="preserve">INFORME DE ENSAYO </t>
  </si>
  <si>
    <t>CODIGO: PRO-L-FM-016</t>
  </si>
  <si>
    <t>Material:</t>
  </si>
  <si>
    <t>Fecha de recepción:</t>
  </si>
  <si>
    <t>Tamaño Máximo Nominal</t>
  </si>
  <si>
    <t>Gradación empleada</t>
  </si>
  <si>
    <t>Nº de Esferas</t>
  </si>
  <si>
    <t xml:space="preserve">Estado de la Muestra </t>
  </si>
  <si>
    <t>SECA</t>
  </si>
  <si>
    <t>HUMEDA</t>
  </si>
  <si>
    <t>Coeficiente de Uniformidad</t>
  </si>
  <si>
    <t>GRADACIONES DE MUESTRAS DE ENSAYO</t>
  </si>
  <si>
    <t>Agregados gruesos de tamaños menores de 37.5 mm (1 1/2")</t>
  </si>
  <si>
    <t>Masa de las fracciones indicadas (g)</t>
  </si>
  <si>
    <t>Pasa</t>
  </si>
  <si>
    <t>Retiene</t>
  </si>
  <si>
    <t>A</t>
  </si>
  <si>
    <t>B</t>
  </si>
  <si>
    <t>C</t>
  </si>
  <si>
    <t>D</t>
  </si>
  <si>
    <t>Pulgadas</t>
  </si>
  <si>
    <t>1 1/2"</t>
  </si>
  <si>
    <t>1"</t>
  </si>
  <si>
    <t>1250 ± 25</t>
  </si>
  <si>
    <t>3/4"</t>
  </si>
  <si>
    <t>1/2"</t>
  </si>
  <si>
    <t>1250 ± 10</t>
  </si>
  <si>
    <t>2500 ± 10</t>
  </si>
  <si>
    <t>3/8"</t>
  </si>
  <si>
    <t>No. 3</t>
  </si>
  <si>
    <t>No. 4</t>
  </si>
  <si>
    <t>No. 8</t>
  </si>
  <si>
    <t>5000 ± 10</t>
  </si>
  <si>
    <t>Carga Abrasiva</t>
  </si>
  <si>
    <t>* HUMEDA: Después de 48 HORAS de inmersión</t>
  </si>
  <si>
    <t>CARTA DE CALIBRACIÓN EQUIPO MICRODEVAL</t>
  </si>
  <si>
    <t>El Agregado de calibración debe presentar una pérdida entre 15% y 25%.</t>
  </si>
  <si>
    <t>Promedio</t>
  </si>
  <si>
    <t>LES</t>
  </si>
  <si>
    <t>LEI</t>
  </si>
  <si>
    <t>Tamaño máximo del Agregado</t>
  </si>
  <si>
    <t>Gradación utilizada (numeral 7.2, 7.3 ó 7.4)</t>
  </si>
  <si>
    <t>Objetivo</t>
  </si>
  <si>
    <t>Para que haya aceptación continua de los datos, los datos individuales del material de calibración se deberán encontrar  entre 17.5% y 20.7% el 95% de las veces</t>
  </si>
  <si>
    <t>numeral 7,2</t>
  </si>
  <si>
    <t xml:space="preserve">3/4", 1/2", 3/8" </t>
  </si>
  <si>
    <t>numeral 7,3</t>
  </si>
  <si>
    <t xml:space="preserve"> 1/2", 3/8", N°4 </t>
  </si>
  <si>
    <t>numeral 7,4</t>
  </si>
  <si>
    <t xml:space="preserve"> 3/8", N°4 </t>
  </si>
  <si>
    <t>DETERMINACIÒN DEL VALOR DE 10% DE FINOS</t>
  </si>
  <si>
    <t>CODIGO: PRO-L-FM-021</t>
  </si>
  <si>
    <t>CONDICION DEL AGREGADO</t>
  </si>
  <si>
    <t>SECO</t>
  </si>
  <si>
    <t>g</t>
  </si>
  <si>
    <t>Penetración</t>
  </si>
  <si>
    <t>mm</t>
  </si>
  <si>
    <t>kN</t>
  </si>
  <si>
    <t>%</t>
  </si>
  <si>
    <t>Relación húmedo/seco</t>
  </si>
  <si>
    <t>Laboratorista</t>
  </si>
  <si>
    <t>X</t>
  </si>
  <si>
    <t>Retenido</t>
  </si>
  <si>
    <t>TOTALES</t>
  </si>
  <si>
    <t>no</t>
  </si>
  <si>
    <t xml:space="preserve">Los resultados presentados corresponden únicamente a la muestra sometida a ensayo. Este informe no puede ser reproducido en su totalidad ni parcialmente, sin la autorización escrita del laboratorio de suelos y pavimentos de la UAERMV. </t>
  </si>
  <si>
    <t xml:space="preserve"> INFORME DE ENSAYO                                                              </t>
  </si>
  <si>
    <t>Ensayo</t>
  </si>
  <si>
    <t>N°</t>
  </si>
  <si>
    <t>°C</t>
  </si>
  <si>
    <t>Laboratorio de suelos y pavimentos de la UAERMV 
Sede de Producción Parque Minero Industrial El Mochuelo Kilometro 3 vía Pasquilla localidad Ciudad Bolívar, Bogotá D.C. - Colombia
Tel: 3779555 Ext. 1145   E- mail: p.laboratorio@umv.gov.co</t>
  </si>
  <si>
    <t>FRACCIÓN RETENIDA EN EL TAMIZ DE 9,5 mm (3/8")</t>
  </si>
  <si>
    <t>APLANAMIENTO</t>
  </si>
  <si>
    <t>ALARGAMIENTO</t>
  </si>
  <si>
    <t>50/63</t>
  </si>
  <si>
    <t>35/50</t>
  </si>
  <si>
    <t>25/38</t>
  </si>
  <si>
    <t>19/25</t>
  </si>
  <si>
    <t>12,5/19</t>
  </si>
  <si>
    <t>9,5/12,5</t>
  </si>
  <si>
    <t>6,3/9,5</t>
  </si>
  <si>
    <t xml:space="preserve">INFORME DE ENSAYOS </t>
  </si>
  <si>
    <t>CODIGO: PRO-L-FM-022</t>
  </si>
  <si>
    <t>CRITERIO</t>
  </si>
  <si>
    <t>Masa</t>
  </si>
  <si>
    <t>Conteo</t>
  </si>
  <si>
    <t>Una cara</t>
  </si>
  <si>
    <t>Dos caras</t>
  </si>
  <si>
    <t>Masa retenida por el tamiz de  75 mm (3")</t>
  </si>
  <si>
    <t xml:space="preserve">Suma de las masas rechazadas </t>
  </si>
  <si>
    <t>observaciones:</t>
  </si>
  <si>
    <t xml:space="preserve">Si un % retenido es inferior al 5%,  la masa retenida en ese tamiz, se debe descontar de la Masa Inicial de Ensayo:  ejemplo  M° 2102-73 = 2029.  Se recalcula con esta nueva Masa Inicial, </t>
  </si>
  <si>
    <t>Masa en el aire de la muestra secada al horno</t>
  </si>
  <si>
    <t xml:space="preserve"> =</t>
  </si>
  <si>
    <t>Masa en el aire de la muestra en condición  SSS</t>
  </si>
  <si>
    <t>S</t>
  </si>
  <si>
    <t>Masa del frasco lleno de agua hasta la marca de calibración</t>
  </si>
  <si>
    <t>Masa del frasco + agua + material (hasta la marca de calibración)</t>
  </si>
  <si>
    <t>Método</t>
  </si>
  <si>
    <t>DETERMINACIÓN DEL CONTENIDO DE VACIOS EN AGREGADOS FINOS NO COMPACTADOS</t>
  </si>
  <si>
    <t>CODIGO: PRO-L-FM-024</t>
  </si>
  <si>
    <t>Gravedad específica Bulk</t>
  </si>
  <si>
    <t>CBR COMPACTADO EN LOS SUELOS Y SOBRE MUESTRA INALTERADA</t>
  </si>
  <si>
    <t>CÓDIGO: PRO-L-FM-008</t>
  </si>
  <si>
    <t>VERSIÓN: 1.0</t>
  </si>
  <si>
    <t>Material.</t>
  </si>
  <si>
    <t>Días de curado</t>
  </si>
  <si>
    <t>Sobrecarga de saturación y penetración (kg)</t>
  </si>
  <si>
    <t>% de Material retenido Tamiz 3/4" y sustituido para realizar el ensayo</t>
  </si>
  <si>
    <t>MOLDE No.</t>
  </si>
  <si>
    <t>Masa húmeda+ masa Molde</t>
  </si>
  <si>
    <t>Expansión %</t>
  </si>
  <si>
    <t>Masa del Molde</t>
  </si>
  <si>
    <t>Masa material húmedo</t>
  </si>
  <si>
    <t>Volumen del molde</t>
  </si>
  <si>
    <t>cm³</t>
  </si>
  <si>
    <t>Masa material seco</t>
  </si>
  <si>
    <t>kg/m³</t>
  </si>
  <si>
    <t>HUMEDAD DE COMPACTACION</t>
  </si>
  <si>
    <t>altura de caída cm</t>
  </si>
  <si>
    <t>Cápsula + material húmedo</t>
  </si>
  <si>
    <t xml:space="preserve">N° capas </t>
  </si>
  <si>
    <t>Cápsula + material seco</t>
  </si>
  <si>
    <t>masa del agua</t>
  </si>
  <si>
    <t>masa de la cápsula</t>
  </si>
  <si>
    <t>Características del Molde No.</t>
  </si>
  <si>
    <t>PROBETAS PARA ENSAYO</t>
  </si>
  <si>
    <t>masa material seco</t>
  </si>
  <si>
    <t>Masa del molde</t>
  </si>
  <si>
    <t>Volumen</t>
  </si>
  <si>
    <r>
      <t>cm</t>
    </r>
    <r>
      <rPr>
        <vertAlign val="superscript"/>
        <sz val="10"/>
        <rFont val="Arial"/>
        <family val="2"/>
      </rPr>
      <t>3</t>
    </r>
  </si>
  <si>
    <t>DENSIDAD VS. CBR</t>
  </si>
  <si>
    <t>DENSIDAD SECA</t>
  </si>
  <si>
    <t>Determinación de la Masa Unitaria</t>
  </si>
  <si>
    <t>lb/pie³</t>
  </si>
  <si>
    <t>Energía  Compactación (nro. glps - nro. cps)</t>
  </si>
  <si>
    <t>CBR CORREGIDO A  0,100 '</t>
  </si>
  <si>
    <t>(%)</t>
  </si>
  <si>
    <t>Masa suelo húmedo compacto + molde</t>
  </si>
  <si>
    <t>CBR corregido a 0,1"</t>
  </si>
  <si>
    <t>CBR CORREGIDO A  0,200 '</t>
  </si>
  <si>
    <t>Humedad de Compactación</t>
  </si>
  <si>
    <t>CBR corregido a 0,2"</t>
  </si>
  <si>
    <r>
      <t>Masa recipiente + suelo húmedo (P</t>
    </r>
    <r>
      <rPr>
        <vertAlign val="subscript"/>
        <sz val="10"/>
        <rFont val="Arial"/>
        <family val="2"/>
      </rPr>
      <t>1</t>
    </r>
    <r>
      <rPr>
        <sz val="10"/>
        <rFont val="Arial"/>
        <family val="2"/>
      </rPr>
      <t>)</t>
    </r>
  </si>
  <si>
    <t>CLASIFICACION FORMAL</t>
  </si>
  <si>
    <r>
      <t>Masa recipiente + suelo seco (P</t>
    </r>
    <r>
      <rPr>
        <vertAlign val="subscript"/>
        <sz val="10"/>
        <rFont val="Arial"/>
        <family val="2"/>
      </rPr>
      <t>2</t>
    </r>
    <r>
      <rPr>
        <sz val="10"/>
        <rFont val="Arial"/>
        <family val="2"/>
      </rPr>
      <t>)</t>
    </r>
  </si>
  <si>
    <t>N.A</t>
  </si>
  <si>
    <r>
      <t>Masa recipiente (P</t>
    </r>
    <r>
      <rPr>
        <vertAlign val="subscript"/>
        <sz val="10"/>
        <rFont val="Arial"/>
        <family val="2"/>
      </rPr>
      <t>3</t>
    </r>
    <r>
      <rPr>
        <sz val="10"/>
        <rFont val="Arial"/>
        <family val="2"/>
      </rPr>
      <t>)</t>
    </r>
  </si>
  <si>
    <t>Inmersión en agua</t>
  </si>
  <si>
    <t>Lectura inicial</t>
  </si>
  <si>
    <t>Lectura final</t>
  </si>
  <si>
    <t>METODO USADO PARA PREPARACION Y COMPACTACION</t>
  </si>
  <si>
    <t>% mat ret T 3/4"</t>
  </si>
  <si>
    <t>Carga (kN)</t>
  </si>
  <si>
    <t>Porcentaje de Compactación</t>
  </si>
  <si>
    <t>Densidad seca</t>
  </si>
  <si>
    <t>CBR</t>
  </si>
  <si>
    <t>Humedad de Penetración</t>
  </si>
  <si>
    <t>RESULTADOS DE LABORATORIO</t>
  </si>
  <si>
    <t>Densidad Seca</t>
  </si>
  <si>
    <t>Densidad Máxima</t>
  </si>
  <si>
    <t>REGRESIONES LINEALES</t>
  </si>
  <si>
    <t>RECTA No. 1</t>
  </si>
  <si>
    <t>m</t>
  </si>
  <si>
    <t>b</t>
  </si>
  <si>
    <r>
      <t>r</t>
    </r>
    <r>
      <rPr>
        <vertAlign val="superscript"/>
        <sz val="10"/>
        <color indexed="8"/>
        <rFont val="Arial"/>
        <family val="2"/>
      </rPr>
      <t>2</t>
    </r>
  </si>
  <si>
    <t>CALCULO DEL ENSAYO DE  RELACION DE SOPORTE DE CALIFORNIA, CBR</t>
  </si>
  <si>
    <t>RECTA No. 2</t>
  </si>
  <si>
    <r>
      <t>(kg/m</t>
    </r>
    <r>
      <rPr>
        <b/>
        <vertAlign val="superscript"/>
        <sz val="10"/>
        <color indexed="8"/>
        <rFont val="Arial"/>
        <family val="2"/>
      </rPr>
      <t>3</t>
    </r>
    <r>
      <rPr>
        <b/>
        <sz val="10"/>
        <color indexed="8"/>
        <rFont val="Arial"/>
        <family val="2"/>
      </rPr>
      <t>)</t>
    </r>
  </si>
  <si>
    <t>LINEAL PRIMEROS DOS PUNTOS</t>
  </si>
  <si>
    <t>LINEAL SIGUIENTES DOS PUNTOS</t>
  </si>
  <si>
    <t>MUESTRA N°</t>
  </si>
  <si>
    <t>Proporción de Fracciones</t>
  </si>
  <si>
    <t>Masa (g)</t>
  </si>
  <si>
    <t>Fracción Ensayo</t>
  </si>
  <si>
    <t>Masa Húmeda</t>
  </si>
  <si>
    <t>Masa Seca</t>
  </si>
  <si>
    <t>Humedad Fracción Gruesa (%)</t>
  </si>
  <si>
    <t>Humedad Fracción Ensayo (%)</t>
  </si>
  <si>
    <t>DETERMINACIÓN (%)</t>
  </si>
  <si>
    <t>Masa Recipiente (g)</t>
  </si>
  <si>
    <t>Masa Recipiente + Material Húmedo (g)</t>
  </si>
  <si>
    <t>Masa Recipiente + Material Seco (g)</t>
  </si>
  <si>
    <t>w: Humedad Fracción Ensayo (%)</t>
  </si>
  <si>
    <t>CURVAS DE COMPACTACIÓN</t>
  </si>
  <si>
    <t>Método de Compactación:</t>
  </si>
  <si>
    <t>Preparación de la muestra:</t>
  </si>
  <si>
    <t>Vía Húmeda</t>
  </si>
  <si>
    <t>CURVA DE SATURACIÓN</t>
  </si>
  <si>
    <t>Martillo de Compactación:</t>
  </si>
  <si>
    <r>
      <t>G</t>
    </r>
    <r>
      <rPr>
        <vertAlign val="subscript"/>
        <sz val="10"/>
        <rFont val="Tahoma"/>
        <family val="2"/>
      </rPr>
      <t>S</t>
    </r>
    <r>
      <rPr>
        <sz val="10"/>
        <rFont val="Tahoma"/>
        <family val="2"/>
      </rPr>
      <t>: Gravedad Especifica</t>
    </r>
  </si>
  <si>
    <r>
      <t>G</t>
    </r>
    <r>
      <rPr>
        <vertAlign val="subscript"/>
        <sz val="10"/>
        <rFont val="Tahoma"/>
        <family val="2"/>
      </rPr>
      <t>M</t>
    </r>
    <r>
      <rPr>
        <sz val="10"/>
        <rFont val="Tahoma"/>
        <family val="2"/>
      </rPr>
      <t>: Gravedad Especifica Fracción Gruesa</t>
    </r>
  </si>
  <si>
    <r>
      <t>γ</t>
    </r>
    <r>
      <rPr>
        <vertAlign val="subscript"/>
        <sz val="10"/>
        <rFont val="Tahoma"/>
        <family val="2"/>
      </rPr>
      <t>dMáx</t>
    </r>
    <r>
      <rPr>
        <sz val="10"/>
        <rFont val="Tahoma"/>
        <family val="2"/>
      </rPr>
      <t>: Peso Unitario Seco Máximo (kN/m</t>
    </r>
    <r>
      <rPr>
        <vertAlign val="superscript"/>
        <sz val="10"/>
        <rFont val="Tahoma"/>
        <family val="2"/>
      </rPr>
      <t>3</t>
    </r>
    <r>
      <rPr>
        <sz val="10"/>
        <rFont val="Tahoma"/>
        <family val="2"/>
      </rPr>
      <t>)</t>
    </r>
  </si>
  <si>
    <t>RELACIONES DE HUMEDAD PESO UNITARIO SECO EN LOS SUELOS (PROCTOR)</t>
  </si>
  <si>
    <t xml:space="preserve">INV E 142-13                                                           </t>
  </si>
  <si>
    <t>CÓDIGO:  PRO-L-FM-007</t>
  </si>
  <si>
    <t>Jennifer Arias</t>
  </si>
  <si>
    <t>Auxiliar Técnico</t>
  </si>
  <si>
    <t>Sonia Gaviria</t>
  </si>
  <si>
    <t>Edgar Mancilla</t>
  </si>
  <si>
    <t>Líder de Laboratorio</t>
  </si>
  <si>
    <t>Hoja:</t>
  </si>
  <si>
    <t>14 de 14</t>
  </si>
  <si>
    <t>Si los  % retenidos son superiores al 5%, la columna de Granulometría corregida, se deja en blanco</t>
  </si>
  <si>
    <r>
      <t>W</t>
    </r>
    <r>
      <rPr>
        <vertAlign val="subscript"/>
        <sz val="10"/>
        <rFont val="Tahoma"/>
        <family val="2"/>
      </rPr>
      <t>Ó</t>
    </r>
    <r>
      <rPr>
        <sz val="10"/>
        <rFont val="Tahoma"/>
        <family val="2"/>
      </rPr>
      <t>: Humedad Óptima (%)</t>
    </r>
  </si>
  <si>
    <t>¿Se incluyeron los sobre tamaños en la muestra de ensayo?</t>
  </si>
  <si>
    <t>Masa total seca (g)</t>
  </si>
  <si>
    <t>3"</t>
  </si>
  <si>
    <t>2½"</t>
  </si>
  <si>
    <t>2"</t>
  </si>
  <si>
    <t>1½"</t>
  </si>
  <si>
    <t>Desgaste  a 100 revoluciones</t>
  </si>
  <si>
    <t>Desgaste  a 500 revoluciones</t>
  </si>
  <si>
    <t>Relación Húmedo/Seco, 500 revoluciones</t>
  </si>
  <si>
    <t>Tamaño de los tamices (pulgadas)</t>
  </si>
  <si>
    <r>
      <t>INDICE DE APLANAMIENTO DE LA FRACCIÓN  I</t>
    </r>
    <r>
      <rPr>
        <vertAlign val="subscript"/>
        <sz val="8"/>
        <rFont val="Arial"/>
        <family val="2"/>
      </rPr>
      <t>Ai</t>
    </r>
  </si>
  <si>
    <r>
      <t>INDICE DE ALARGAMIENTO DE LA FRACCIÓN  I</t>
    </r>
    <r>
      <rPr>
        <vertAlign val="subscript"/>
        <sz val="8"/>
        <rFont val="Arial"/>
        <family val="2"/>
      </rPr>
      <t>Li</t>
    </r>
  </si>
  <si>
    <r>
      <t>INDICE DE APLANAMIENTO GLOBAL  I</t>
    </r>
    <r>
      <rPr>
        <vertAlign val="subscript"/>
        <sz val="8"/>
        <rFont val="Arial"/>
        <family val="2"/>
      </rPr>
      <t>A</t>
    </r>
  </si>
  <si>
    <r>
      <t>INDICE DE ALARGAMIENTO GLOBAL  I</t>
    </r>
    <r>
      <rPr>
        <vertAlign val="subscript"/>
        <sz val="8"/>
        <rFont val="Arial"/>
        <family val="2"/>
      </rPr>
      <t>L</t>
    </r>
  </si>
  <si>
    <t>Porcentaje (%)</t>
  </si>
  <si>
    <t>Nombres y apellidos:</t>
  </si>
  <si>
    <t>Pérdida por abrasión Micro-Deval</t>
  </si>
  <si>
    <r>
      <t>M</t>
    </r>
    <r>
      <rPr>
        <sz val="7"/>
        <rFont val="Arial"/>
        <family val="2"/>
      </rPr>
      <t xml:space="preserve">1 </t>
    </r>
    <r>
      <rPr>
        <sz val="9"/>
        <rFont val="Arial"/>
        <family val="2"/>
      </rPr>
      <t>= Masa de la muestra antes del ensayo</t>
    </r>
  </si>
  <si>
    <t>N° 4</t>
  </si>
  <si>
    <t>N° 8</t>
  </si>
  <si>
    <t>N° 16</t>
  </si>
  <si>
    <t>N° 30</t>
  </si>
  <si>
    <t>N° 40</t>
  </si>
  <si>
    <t>N° 50</t>
  </si>
  <si>
    <t>N° 100</t>
  </si>
  <si>
    <t>N° 200</t>
  </si>
  <si>
    <t>N° 10</t>
  </si>
  <si>
    <t>Granulometría corregida  (Si hay alguna fracción con menos del 5%)    (g)</t>
  </si>
  <si>
    <r>
      <t>Masa de las partículas que pasan por el calibrador  m</t>
    </r>
    <r>
      <rPr>
        <vertAlign val="subscript"/>
        <sz val="8"/>
        <rFont val="Arial"/>
        <family val="2"/>
      </rPr>
      <t>i</t>
    </r>
    <r>
      <rPr>
        <sz val="8"/>
        <rFont val="Arial"/>
        <family val="2"/>
      </rPr>
      <t xml:space="preserve"> (g)</t>
    </r>
  </si>
  <si>
    <r>
      <t>G</t>
    </r>
    <r>
      <rPr>
        <vertAlign val="subscript"/>
        <sz val="9"/>
        <rFont val="Arial"/>
        <family val="2"/>
      </rPr>
      <t>S</t>
    </r>
    <r>
      <rPr>
        <sz val="9"/>
        <rFont val="Arial"/>
        <family val="2"/>
      </rPr>
      <t>: Gravedad Especifica:</t>
    </r>
  </si>
  <si>
    <r>
      <t>P</t>
    </r>
    <r>
      <rPr>
        <vertAlign val="subscript"/>
        <sz val="9"/>
        <rFont val="Arial"/>
        <family val="2"/>
      </rPr>
      <t>FG</t>
    </r>
    <r>
      <rPr>
        <sz val="9"/>
        <rFont val="Arial"/>
        <family val="2"/>
      </rPr>
      <t>: Porcentaje Fracción Gruesa (%)</t>
    </r>
  </si>
  <si>
    <r>
      <t>P</t>
    </r>
    <r>
      <rPr>
        <vertAlign val="subscript"/>
        <sz val="9"/>
        <rFont val="Arial"/>
        <family val="2"/>
      </rPr>
      <t>FE</t>
    </r>
    <r>
      <rPr>
        <sz val="9"/>
        <rFont val="Arial"/>
        <family val="2"/>
      </rPr>
      <t>: Porcentaje Fracción Fina (%)</t>
    </r>
  </si>
  <si>
    <t>Recipiente</t>
  </si>
  <si>
    <t>Fecha de ejecución:</t>
  </si>
  <si>
    <t>Fracción granulométrica di/Di</t>
  </si>
  <si>
    <t>Fracción</t>
  </si>
  <si>
    <t>% retenido</t>
  </si>
  <si>
    <t>Ri= Masa (g)</t>
  </si>
  <si>
    <t>para ensayo</t>
  </si>
  <si>
    <t>No fracturadas</t>
  </si>
  <si>
    <t>PORCENTAJE*</t>
  </si>
  <si>
    <t>Porcentaje*</t>
  </si>
  <si>
    <t>Porcentaje de la muestra total:</t>
  </si>
  <si>
    <r>
      <t>G</t>
    </r>
    <r>
      <rPr>
        <i/>
        <vertAlign val="subscript"/>
        <sz val="9"/>
        <rFont val="Arial"/>
        <family val="2"/>
      </rPr>
      <t xml:space="preserve">sb 23/23ºC </t>
    </r>
    <r>
      <rPr>
        <i/>
        <sz val="9"/>
        <rFont val="Arial"/>
        <family val="2"/>
      </rPr>
      <t>=</t>
    </r>
  </si>
  <si>
    <t>ml</t>
  </si>
  <si>
    <r>
      <t>V</t>
    </r>
    <r>
      <rPr>
        <sz val="9"/>
        <rFont val="Arial"/>
        <family val="2"/>
      </rPr>
      <t>: volumen del medidor cilíndrico</t>
    </r>
  </si>
  <si>
    <r>
      <t>F</t>
    </r>
    <r>
      <rPr>
        <sz val="9"/>
        <rFont val="Arial"/>
        <family val="2"/>
      </rPr>
      <t>: masa neta del agregado fino en el medidor</t>
    </r>
  </si>
  <si>
    <t>N°8 a N°16</t>
  </si>
  <si>
    <t>N°16 a Nº30</t>
  </si>
  <si>
    <t>N°30 a N°50</t>
  </si>
  <si>
    <t>Elaboro:</t>
  </si>
  <si>
    <t>Masa de las partículas (g)</t>
  </si>
  <si>
    <t>1 ó más caras fracturadas</t>
  </si>
  <si>
    <t xml:space="preserve"> 2 ó más caras fracturadas</t>
  </si>
  <si>
    <t>Densidad, densidad relativa gravedad específica y absorción del agregados finos INV E-222-13</t>
  </si>
  <si>
    <r>
      <t>Peso Unitario Seco Máximo (kgf/m</t>
    </r>
    <r>
      <rPr>
        <vertAlign val="superscript"/>
        <sz val="9"/>
        <rFont val="Arial"/>
        <family val="2"/>
      </rPr>
      <t>3</t>
    </r>
    <r>
      <rPr>
        <sz val="9"/>
        <rFont val="Arial"/>
        <family val="2"/>
      </rPr>
      <t>):</t>
    </r>
  </si>
  <si>
    <r>
      <t>(kg*cm/cm</t>
    </r>
    <r>
      <rPr>
        <vertAlign val="superscript"/>
        <sz val="8"/>
        <rFont val="Arial"/>
        <family val="2"/>
      </rPr>
      <t>3</t>
    </r>
    <r>
      <rPr>
        <sz val="8"/>
        <rFont val="Arial"/>
        <family val="2"/>
      </rPr>
      <t>)</t>
    </r>
  </si>
  <si>
    <r>
      <t>M</t>
    </r>
    <r>
      <rPr>
        <vertAlign val="subscript"/>
        <sz val="8"/>
        <rFont val="Arial"/>
        <family val="2"/>
      </rPr>
      <t>mws</t>
    </r>
  </si>
  <si>
    <r>
      <t>M</t>
    </r>
    <r>
      <rPr>
        <vertAlign val="subscript"/>
        <sz val="8"/>
        <rFont val="Arial"/>
        <family val="2"/>
      </rPr>
      <t>m</t>
    </r>
  </si>
  <si>
    <r>
      <t>M</t>
    </r>
    <r>
      <rPr>
        <vertAlign val="subscript"/>
        <sz val="8"/>
        <rFont val="Arial"/>
        <family val="2"/>
      </rPr>
      <t>ws</t>
    </r>
  </si>
  <si>
    <r>
      <t>V</t>
    </r>
    <r>
      <rPr>
        <vertAlign val="subscript"/>
        <sz val="8"/>
        <rFont val="Arial"/>
        <family val="2"/>
      </rPr>
      <t>m</t>
    </r>
  </si>
  <si>
    <r>
      <t>M</t>
    </r>
    <r>
      <rPr>
        <vertAlign val="subscript"/>
        <sz val="8"/>
        <rFont val="Arial"/>
        <family val="2"/>
      </rPr>
      <t>sac</t>
    </r>
  </si>
  <si>
    <r>
      <t>ρ</t>
    </r>
    <r>
      <rPr>
        <vertAlign val="subscript"/>
        <sz val="8"/>
        <rFont val="Arial"/>
        <family val="2"/>
      </rPr>
      <t>d</t>
    </r>
  </si>
  <si>
    <r>
      <t>M</t>
    </r>
    <r>
      <rPr>
        <vertAlign val="subscript"/>
        <sz val="8"/>
        <rFont val="Arial"/>
        <family val="2"/>
      </rPr>
      <t>1</t>
    </r>
  </si>
  <si>
    <r>
      <t>M</t>
    </r>
    <r>
      <rPr>
        <vertAlign val="subscript"/>
        <sz val="8"/>
        <rFont val="Arial"/>
        <family val="2"/>
      </rPr>
      <t>2</t>
    </r>
    <r>
      <rPr>
        <sz val="10"/>
        <rFont val="Arial"/>
        <family val="2"/>
      </rPr>
      <t/>
    </r>
  </si>
  <si>
    <r>
      <t>M</t>
    </r>
    <r>
      <rPr>
        <vertAlign val="subscript"/>
        <sz val="8"/>
        <rFont val="Arial"/>
        <family val="2"/>
      </rPr>
      <t>w</t>
    </r>
  </si>
  <si>
    <r>
      <t>M</t>
    </r>
    <r>
      <rPr>
        <vertAlign val="subscript"/>
        <sz val="8"/>
        <rFont val="Arial"/>
        <family val="2"/>
      </rPr>
      <t>3</t>
    </r>
  </si>
  <si>
    <r>
      <t>M</t>
    </r>
    <r>
      <rPr>
        <vertAlign val="subscript"/>
        <sz val="8"/>
        <rFont val="Arial"/>
        <family val="2"/>
      </rPr>
      <t>d</t>
    </r>
  </si>
  <si>
    <r>
      <t>W</t>
    </r>
    <r>
      <rPr>
        <vertAlign val="subscript"/>
        <sz val="8"/>
        <rFont val="Arial"/>
        <family val="2"/>
      </rPr>
      <t>ac</t>
    </r>
  </si>
  <si>
    <t>INV E-148-13</t>
  </si>
  <si>
    <t>N° de golpes</t>
  </si>
  <si>
    <t>Curva N°</t>
  </si>
  <si>
    <t>Humedad Penetración %</t>
  </si>
  <si>
    <t>Contenido de agua</t>
  </si>
  <si>
    <t>Densidad humeda</t>
  </si>
  <si>
    <t>Energia de compactacion</t>
  </si>
  <si>
    <t>INV E 148-2013</t>
  </si>
  <si>
    <t>AASHTO</t>
  </si>
  <si>
    <t>SUCS</t>
  </si>
  <si>
    <t>INV E-181-2013</t>
  </si>
  <si>
    <t>INV E 180-2013</t>
  </si>
  <si>
    <t>ENSAYO NORMAL</t>
  </si>
  <si>
    <t>ENSAYO MODIFICADO</t>
  </si>
  <si>
    <t xml:space="preserve">  INV E 141-2013</t>
  </si>
  <si>
    <t xml:space="preserve"> INV E 142-2013</t>
  </si>
  <si>
    <r>
      <t>kg/m</t>
    </r>
    <r>
      <rPr>
        <b/>
        <vertAlign val="superscript"/>
        <sz val="9"/>
        <color indexed="8"/>
        <rFont val="Arial"/>
        <family val="2"/>
      </rPr>
      <t>3</t>
    </r>
  </si>
  <si>
    <t>BG_A</t>
  </si>
  <si>
    <t>SBG_A</t>
  </si>
  <si>
    <t>SBG_B</t>
  </si>
  <si>
    <t>SBG_C</t>
  </si>
  <si>
    <t>CIV:</t>
  </si>
  <si>
    <t xml:space="preserve">Porcentaje de partículas fracturadas, calculado por </t>
  </si>
  <si>
    <t>Criterio de Evaluación</t>
  </si>
  <si>
    <t>Porcentaje de partículas fracturadas, calculado por:</t>
  </si>
  <si>
    <t>Criterio de Evaluación:</t>
  </si>
  <si>
    <t xml:space="preserve">Masa que pasa por el tamiz de  4,75 mm (N°.4) </t>
  </si>
  <si>
    <t>FRACCIÓN QUE PASA EL TAMIZ DE 9,5 mm (3/8") Y SE RETIENE EN EL DE 4,75 mm (N° 4)</t>
  </si>
  <si>
    <t>Penetración 
pulgadas (plg)</t>
  </si>
  <si>
    <t xml:space="preserve">                  </t>
  </si>
  <si>
    <r>
      <t>ρ</t>
    </r>
    <r>
      <rPr>
        <vertAlign val="subscript"/>
        <sz val="8"/>
        <color rgb="FFFF0000"/>
        <rFont val="Arial"/>
        <family val="2"/>
      </rPr>
      <t>d</t>
    </r>
  </si>
  <si>
    <r>
      <t>M</t>
    </r>
    <r>
      <rPr>
        <vertAlign val="subscript"/>
        <sz val="8"/>
        <color rgb="FFFF0000"/>
        <rFont val="Arial"/>
        <family val="2"/>
      </rPr>
      <t>mws</t>
    </r>
  </si>
  <si>
    <r>
      <t>M</t>
    </r>
    <r>
      <rPr>
        <vertAlign val="subscript"/>
        <sz val="8"/>
        <color rgb="FFFF0000"/>
        <rFont val="Arial"/>
        <family val="2"/>
      </rPr>
      <t>m</t>
    </r>
  </si>
  <si>
    <r>
      <t>W</t>
    </r>
    <r>
      <rPr>
        <vertAlign val="subscript"/>
        <sz val="8"/>
        <color rgb="FFFF0000"/>
        <rFont val="Arial"/>
        <family val="2"/>
      </rPr>
      <t>ac</t>
    </r>
  </si>
  <si>
    <r>
      <t>M</t>
    </r>
    <r>
      <rPr>
        <vertAlign val="subscript"/>
        <sz val="8"/>
        <color rgb="FFFF0000"/>
        <rFont val="Arial"/>
        <family val="2"/>
      </rPr>
      <t>w</t>
    </r>
  </si>
  <si>
    <r>
      <t>M</t>
    </r>
    <r>
      <rPr>
        <vertAlign val="subscript"/>
        <sz val="8"/>
        <color rgb="FFFF0000"/>
        <rFont val="Arial"/>
        <family val="2"/>
      </rPr>
      <t>d</t>
    </r>
  </si>
  <si>
    <r>
      <t>M</t>
    </r>
    <r>
      <rPr>
        <vertAlign val="subscript"/>
        <sz val="8"/>
        <color rgb="FFFF0000"/>
        <rFont val="Arial"/>
        <family val="2"/>
      </rPr>
      <t>1</t>
    </r>
  </si>
  <si>
    <r>
      <t>M</t>
    </r>
    <r>
      <rPr>
        <vertAlign val="subscript"/>
        <sz val="8"/>
        <color rgb="FFFF0000"/>
        <rFont val="Arial"/>
        <family val="2"/>
      </rPr>
      <t>2</t>
    </r>
    <r>
      <rPr>
        <sz val="10"/>
        <rFont val="Arial"/>
        <family val="2"/>
      </rPr>
      <t/>
    </r>
  </si>
  <si>
    <r>
      <t>M</t>
    </r>
    <r>
      <rPr>
        <vertAlign val="subscript"/>
        <sz val="8"/>
        <color rgb="FFFF0000"/>
        <rFont val="Arial"/>
        <family val="2"/>
      </rPr>
      <t>3</t>
    </r>
  </si>
  <si>
    <r>
      <t>V</t>
    </r>
    <r>
      <rPr>
        <vertAlign val="subscript"/>
        <sz val="8"/>
        <color rgb="FFFF0000"/>
        <rFont val="Arial"/>
        <family val="2"/>
      </rPr>
      <t>m</t>
    </r>
  </si>
  <si>
    <r>
      <t>M</t>
    </r>
    <r>
      <rPr>
        <vertAlign val="subscript"/>
        <sz val="8"/>
        <color rgb="FFFF0000"/>
        <rFont val="Arial"/>
        <family val="2"/>
      </rPr>
      <t>sac</t>
    </r>
  </si>
  <si>
    <r>
      <t>m= Porcentaje de material que pasa tamiz 2,36 mm
m= (m</t>
    </r>
    <r>
      <rPr>
        <sz val="7"/>
        <rFont val="Arial"/>
        <family val="2"/>
      </rPr>
      <t xml:space="preserve">3 </t>
    </r>
    <r>
      <rPr>
        <sz val="9"/>
        <rFont val="Arial"/>
        <family val="2"/>
      </rPr>
      <t>/ m</t>
    </r>
    <r>
      <rPr>
        <sz val="7"/>
        <rFont val="Arial"/>
        <family val="2"/>
      </rPr>
      <t>1</t>
    </r>
    <r>
      <rPr>
        <sz val="9"/>
        <rFont val="Arial"/>
        <family val="2"/>
      </rPr>
      <t>) * 100</t>
    </r>
  </si>
  <si>
    <t>f= Máxima fuerza</t>
  </si>
  <si>
    <t>F= Fuerza necesaria para producir un 10% de finos    
F= (14*f) / (m+4)</t>
  </si>
  <si>
    <t>SATURADA</t>
  </si>
  <si>
    <t>A= Masa muestra seca antes del ensayo</t>
  </si>
  <si>
    <t>B= Masa muestra seca después del ensayo</t>
  </si>
  <si>
    <t xml:space="preserve">GRÁFICO DE TENDENCIA DEL AGREGADO DE CALIBRACION </t>
  </si>
  <si>
    <r>
      <t>Masa de las partículas que se retienen en el calibrador  n</t>
    </r>
    <r>
      <rPr>
        <vertAlign val="subscript"/>
        <sz val="8"/>
        <rFont val="Arial"/>
        <family val="2"/>
      </rPr>
      <t>i</t>
    </r>
    <r>
      <rPr>
        <sz val="8"/>
        <rFont val="Arial"/>
        <family val="2"/>
      </rPr>
      <t xml:space="preserve"> (g)</t>
    </r>
  </si>
  <si>
    <t>1/4"</t>
  </si>
  <si>
    <t>F= 1 ó más caras fracturadas</t>
  </si>
  <si>
    <t xml:space="preserve"> N= 2 ó más caras fracturadas</t>
  </si>
  <si>
    <t>N= 2 ó más caras fracturadas</t>
  </si>
  <si>
    <r>
      <t>M</t>
    </r>
    <r>
      <rPr>
        <vertAlign val="subscript"/>
        <sz val="8"/>
        <color theme="1"/>
        <rFont val="Tahoma"/>
        <family val="2"/>
      </rPr>
      <t>HFG</t>
    </r>
    <r>
      <rPr>
        <sz val="8"/>
        <color theme="1"/>
        <rFont val="Tahoma"/>
        <family val="2"/>
      </rPr>
      <t>: Masa Húmeda Fracción Gruesa</t>
    </r>
  </si>
  <si>
    <r>
      <t>M</t>
    </r>
    <r>
      <rPr>
        <vertAlign val="subscript"/>
        <sz val="8"/>
        <color theme="1"/>
        <rFont val="Tahoma"/>
        <family val="2"/>
      </rPr>
      <t>HFE</t>
    </r>
    <r>
      <rPr>
        <sz val="8"/>
        <color theme="1"/>
        <rFont val="Tahoma"/>
        <family val="2"/>
      </rPr>
      <t>: Masa Humedad Fracción Ensayo</t>
    </r>
  </si>
  <si>
    <r>
      <t>M</t>
    </r>
    <r>
      <rPr>
        <vertAlign val="subscript"/>
        <sz val="8"/>
        <color theme="1"/>
        <rFont val="Tahoma"/>
        <family val="2"/>
      </rPr>
      <t>SFC</t>
    </r>
    <r>
      <rPr>
        <sz val="8"/>
        <color theme="1"/>
        <rFont val="Tahoma"/>
        <family val="2"/>
      </rPr>
      <t>: Masa Seca Fracción Gruesa</t>
    </r>
  </si>
  <si>
    <r>
      <t>M</t>
    </r>
    <r>
      <rPr>
        <vertAlign val="subscript"/>
        <sz val="8"/>
        <color theme="1"/>
        <rFont val="Tahoma"/>
        <family val="2"/>
      </rPr>
      <t>SFE</t>
    </r>
    <r>
      <rPr>
        <sz val="8"/>
        <color theme="1"/>
        <rFont val="Tahoma"/>
        <family val="2"/>
      </rPr>
      <t>: Masa Seca Fracción Ensayo</t>
    </r>
  </si>
  <si>
    <r>
      <t>γ</t>
    </r>
    <r>
      <rPr>
        <vertAlign val="subscript"/>
        <sz val="8"/>
        <color theme="1"/>
        <rFont val="Tahoma"/>
        <family val="2"/>
      </rPr>
      <t>d</t>
    </r>
    <r>
      <rPr>
        <sz val="8"/>
        <color theme="1"/>
        <rFont val="Tahoma"/>
        <family val="2"/>
      </rPr>
      <t>: Peso Unitario Seco (kN/m</t>
    </r>
    <r>
      <rPr>
        <vertAlign val="superscript"/>
        <sz val="8"/>
        <color theme="1"/>
        <rFont val="Tahoma"/>
        <family val="2"/>
      </rPr>
      <t>3</t>
    </r>
    <r>
      <rPr>
        <sz val="8"/>
        <color theme="1"/>
        <rFont val="Tahoma"/>
        <family val="2"/>
      </rPr>
      <t>)</t>
    </r>
  </si>
  <si>
    <r>
      <t>M</t>
    </r>
    <r>
      <rPr>
        <vertAlign val="subscript"/>
        <sz val="8"/>
        <color theme="1"/>
        <rFont val="Tahoma"/>
        <family val="2"/>
      </rPr>
      <t>T</t>
    </r>
    <r>
      <rPr>
        <sz val="8"/>
        <color theme="1"/>
        <rFont val="Tahoma"/>
        <family val="2"/>
      </rPr>
      <t>: Masa Molde + Material Húmedo (g)</t>
    </r>
  </si>
  <si>
    <r>
      <t>V: Volumen del molde (cm</t>
    </r>
    <r>
      <rPr>
        <vertAlign val="superscript"/>
        <sz val="8"/>
        <color theme="1"/>
        <rFont val="Tahoma"/>
        <family val="2"/>
      </rPr>
      <t>3</t>
    </r>
    <r>
      <rPr>
        <sz val="8"/>
        <color theme="1"/>
        <rFont val="Tahoma"/>
        <family val="2"/>
      </rPr>
      <t>)</t>
    </r>
  </si>
  <si>
    <r>
      <t>M</t>
    </r>
    <r>
      <rPr>
        <vertAlign val="subscript"/>
        <sz val="8"/>
        <color theme="1"/>
        <rFont val="Tahoma"/>
        <family val="2"/>
      </rPr>
      <t>MD</t>
    </r>
    <r>
      <rPr>
        <sz val="8"/>
        <color theme="1"/>
        <rFont val="Tahoma"/>
        <family val="2"/>
      </rPr>
      <t>: Masa del molde (g)</t>
    </r>
  </si>
  <si>
    <r>
      <t>ρ</t>
    </r>
    <r>
      <rPr>
        <vertAlign val="subscript"/>
        <sz val="8"/>
        <color theme="1"/>
        <rFont val="Tahoma"/>
        <family val="2"/>
      </rPr>
      <t>H</t>
    </r>
    <r>
      <rPr>
        <sz val="8"/>
        <color theme="1"/>
        <rFont val="Tahoma"/>
        <family val="2"/>
      </rPr>
      <t>: Densidad Humedad (g/cm</t>
    </r>
    <r>
      <rPr>
        <vertAlign val="superscript"/>
        <sz val="8"/>
        <color theme="1"/>
        <rFont val="Tahoma"/>
        <family val="2"/>
      </rPr>
      <t>3</t>
    </r>
    <r>
      <rPr>
        <sz val="8"/>
        <color theme="1"/>
        <rFont val="Tahoma"/>
        <family val="2"/>
      </rPr>
      <t>)</t>
    </r>
  </si>
  <si>
    <r>
      <t>ρ</t>
    </r>
    <r>
      <rPr>
        <vertAlign val="subscript"/>
        <sz val="8"/>
        <color theme="1"/>
        <rFont val="Tahoma"/>
        <family val="2"/>
      </rPr>
      <t>d</t>
    </r>
    <r>
      <rPr>
        <sz val="8"/>
        <color theme="1"/>
        <rFont val="Tahoma"/>
        <family val="2"/>
      </rPr>
      <t>: Densidad Seca (g/cm</t>
    </r>
    <r>
      <rPr>
        <vertAlign val="superscript"/>
        <sz val="8"/>
        <color theme="1"/>
        <rFont val="Tahoma"/>
        <family val="2"/>
      </rPr>
      <t>3</t>
    </r>
    <r>
      <rPr>
        <sz val="8"/>
        <color theme="1"/>
        <rFont val="Tahoma"/>
        <family val="2"/>
      </rPr>
      <t>)</t>
    </r>
  </si>
  <si>
    <r>
      <t>γ</t>
    </r>
    <r>
      <rPr>
        <vertAlign val="subscript"/>
        <sz val="8"/>
        <color theme="1"/>
        <rFont val="Tahoma"/>
        <family val="2"/>
      </rPr>
      <t>H</t>
    </r>
    <r>
      <rPr>
        <sz val="8"/>
        <color theme="1"/>
        <rFont val="Tahoma"/>
        <family val="2"/>
      </rPr>
      <t>: Peso Unitario Húmedo (kN/m</t>
    </r>
    <r>
      <rPr>
        <vertAlign val="superscript"/>
        <sz val="8"/>
        <color theme="1"/>
        <rFont val="Tahoma"/>
        <family val="2"/>
      </rPr>
      <t>3</t>
    </r>
    <r>
      <rPr>
        <sz val="8"/>
        <color theme="1"/>
        <rFont val="Tahoma"/>
        <family val="2"/>
      </rPr>
      <t>)</t>
    </r>
  </si>
  <si>
    <r>
      <t>W</t>
    </r>
    <r>
      <rPr>
        <vertAlign val="subscript"/>
        <sz val="8"/>
        <color theme="1"/>
        <rFont val="Tahoma"/>
        <family val="2"/>
      </rPr>
      <t>sat</t>
    </r>
    <r>
      <rPr>
        <sz val="8"/>
        <color theme="1"/>
        <rFont val="Tahoma"/>
        <family val="2"/>
      </rPr>
      <t>: Humedad Fracción Ensayo (%)</t>
    </r>
  </si>
  <si>
    <r>
      <t>U</t>
    </r>
    <r>
      <rPr>
        <b/>
        <sz val="7"/>
        <rFont val="Arial"/>
        <family val="2"/>
      </rPr>
      <t>s</t>
    </r>
    <r>
      <rPr>
        <sz val="9"/>
        <rFont val="Arial"/>
        <family val="2"/>
      </rPr>
      <t>: Porcentaje de vacíos en el agregado fino sin compactar</t>
    </r>
  </si>
  <si>
    <r>
      <t>M</t>
    </r>
    <r>
      <rPr>
        <sz val="7"/>
        <rFont val="Arial"/>
        <family val="2"/>
      </rPr>
      <t>2</t>
    </r>
    <r>
      <rPr>
        <sz val="9"/>
        <rFont val="Arial"/>
        <family val="2"/>
      </rPr>
      <t>= Masa de la muestra después del ensayo y retenida sobre el tamiz N° 8</t>
    </r>
  </si>
  <si>
    <r>
      <t>Masa de la muestra que pasa el tamiz N° 8      
M</t>
    </r>
    <r>
      <rPr>
        <sz val="6"/>
        <rFont val="Arial"/>
        <family val="2"/>
      </rPr>
      <t>3</t>
    </r>
    <r>
      <rPr>
        <sz val="9"/>
        <rFont val="Arial"/>
        <family val="2"/>
      </rPr>
      <t xml:space="preserve"> = M</t>
    </r>
    <r>
      <rPr>
        <sz val="7"/>
        <rFont val="Arial"/>
        <family val="2"/>
      </rPr>
      <t>1</t>
    </r>
    <r>
      <rPr>
        <sz val="9"/>
        <rFont val="Arial"/>
        <family val="2"/>
      </rPr>
      <t xml:space="preserve"> - M</t>
    </r>
    <r>
      <rPr>
        <sz val="7"/>
        <rFont val="Arial"/>
        <family val="2"/>
      </rPr>
      <t>2</t>
    </r>
  </si>
  <si>
    <t>Alterno</t>
  </si>
  <si>
    <t>Milímetros
(mm)</t>
  </si>
  <si>
    <t>Masa de la muestra inicial Mo</t>
  </si>
  <si>
    <t>Masa de la muestra inicial Mo - Corregida</t>
  </si>
  <si>
    <t>Tipo de material</t>
  </si>
  <si>
    <t>PEA</t>
  </si>
  <si>
    <t>ALBARRACIN JAIRO</t>
  </si>
  <si>
    <t>ALMONACID JIMMY</t>
  </si>
  <si>
    <t>CANO LUIS EDUARDO</t>
  </si>
  <si>
    <t>CHAPARRO CARLOS</t>
  </si>
  <si>
    <t>CORDOBA ALEXANDER</t>
  </si>
  <si>
    <t>CRISTANCHO VICTOR</t>
  </si>
  <si>
    <t>DIAZ CESAR</t>
  </si>
  <si>
    <t>FLOREZ KAREN</t>
  </si>
  <si>
    <t>GALVIS DAVID</t>
  </si>
  <si>
    <t>GOMEZ LUIS CARLOS</t>
  </si>
  <si>
    <t>MANCILLA EDGAR</t>
  </si>
  <si>
    <t>OSPINA JUAN GABRIEL</t>
  </si>
  <si>
    <t>RINCON SATURNINO</t>
  </si>
  <si>
    <t>SUAREZ  WILLIAM</t>
  </si>
  <si>
    <t>VARGAS RODOLFO</t>
  </si>
  <si>
    <t>YARA FABIAN</t>
  </si>
  <si>
    <t>BG_Gr2</t>
  </si>
  <si>
    <t>SG_Gr1</t>
  </si>
  <si>
    <t>SG_Gr2</t>
  </si>
  <si>
    <t>SBG_Pea</t>
  </si>
  <si>
    <t>Tipo de gradación</t>
  </si>
  <si>
    <t>NOMBRES</t>
  </si>
  <si>
    <t>CARGO</t>
  </si>
  <si>
    <t>FIRMAS</t>
  </si>
  <si>
    <t>ACHIARDI LEONARDO</t>
  </si>
  <si>
    <t>Auxiliar</t>
  </si>
  <si>
    <t>GALVIS DANIEL</t>
  </si>
  <si>
    <t>FAJARDO HUGO</t>
  </si>
  <si>
    <t>PATIÑO MARLON</t>
  </si>
  <si>
    <t>PRIETO YULY PAOLA</t>
  </si>
  <si>
    <t>SASTOQUE CINDY</t>
  </si>
  <si>
    <t>TEUTA DIEGO</t>
  </si>
  <si>
    <t>VILLANUEVA BRAYAN</t>
  </si>
  <si>
    <t>Reviso</t>
  </si>
  <si>
    <t>--</t>
  </si>
  <si>
    <t>Coordinador Operativo</t>
  </si>
  <si>
    <t>N° 80</t>
  </si>
  <si>
    <t xml:space="preserve">ARENA DE PEÑA </t>
  </si>
  <si>
    <t>MD 20</t>
  </si>
  <si>
    <t>MD12</t>
  </si>
  <si>
    <t>MD10</t>
  </si>
  <si>
    <t>ARENA TRITURADA DE RIO</t>
  </si>
  <si>
    <t>ARENA TRITURADA DE CANTERA</t>
  </si>
  <si>
    <t>GRAVA 1/2"</t>
  </si>
  <si>
    <t>GRAVA 3/4"</t>
  </si>
  <si>
    <t>GRAVA 1"</t>
  </si>
  <si>
    <t xml:space="preserve">MINIMOS </t>
  </si>
  <si>
    <t>0</t>
  </si>
  <si>
    <t>VERSION: 1</t>
  </si>
  <si>
    <t>VERSION : 1</t>
  </si>
  <si>
    <t>VERSIÓN: 1</t>
  </si>
  <si>
    <t>VERSION:  1</t>
  </si>
  <si>
    <t>P1: Masa muestra seca antes del ensayo</t>
  </si>
  <si>
    <r>
      <t>P</t>
    </r>
    <r>
      <rPr>
        <sz val="6"/>
        <rFont val="Arial"/>
        <family val="2"/>
      </rPr>
      <t>2(100rev):</t>
    </r>
    <r>
      <rPr>
        <sz val="8"/>
        <rFont val="Arial"/>
        <family val="2"/>
      </rPr>
      <t xml:space="preserve"> Masa de la muestra seca y después del ensayo, previo lavado sobre  tamiz Nº 12 después  100 revoluciones</t>
    </r>
  </si>
  <si>
    <r>
      <t>P</t>
    </r>
    <r>
      <rPr>
        <sz val="6"/>
        <rFont val="Arial"/>
        <family val="2"/>
      </rPr>
      <t>2</t>
    </r>
    <r>
      <rPr>
        <sz val="8"/>
        <rFont val="Arial"/>
        <family val="2"/>
      </rPr>
      <t>(500rev) : Masa de la muestra seca y después del ensayo, previo lavado sobre  tamiz Nº 12 después  500 revoluciones</t>
    </r>
  </si>
  <si>
    <t xml:space="preserve"> INV E 218-13 </t>
  </si>
  <si>
    <t>INV E 238-13</t>
  </si>
  <si>
    <t>INV E 224-13</t>
  </si>
  <si>
    <t xml:space="preserve">INV E 227 y 230-13 </t>
  </si>
  <si>
    <t>PORCENTAJE DE CARAS FRACTURADAS EN UN AGREGADO GRUESO INV E 227-13</t>
  </si>
  <si>
    <t>INDICE DE APLANAMIENTO Y ALARGAMIENTO  DE LOS AGREGADOS PARA CARRETERAS INV E 230-13</t>
  </si>
  <si>
    <t>CODIGO: PRO-L-FM-023</t>
  </si>
  <si>
    <t>INV E 148-13</t>
  </si>
  <si>
    <t>ENSAYO MODIFICADO            INV E 142-2013</t>
  </si>
  <si>
    <t>VERSIÓN 1</t>
  </si>
  <si>
    <r>
      <t>Peso Unitario Seco Máximo  (kN/m</t>
    </r>
    <r>
      <rPr>
        <sz val="10"/>
        <rFont val="Calibri"/>
        <family val="2"/>
      </rPr>
      <t>³</t>
    </r>
    <r>
      <rPr>
        <sz val="9"/>
        <rFont val="Arial"/>
        <family val="2"/>
      </rPr>
      <t>)</t>
    </r>
  </si>
  <si>
    <t>Carga 
Lbf</t>
  </si>
  <si>
    <t>esfuerzo 
Lbf/plg²</t>
  </si>
  <si>
    <t>ENSAYO NORMAL                  INV E 141-13</t>
  </si>
  <si>
    <t>ENSAYO MODIFICADO            INV E 142-13</t>
  </si>
  <si>
    <t xml:space="preserve">masa del martillo </t>
  </si>
  <si>
    <t xml:space="preserve">Apellido y  nombre </t>
  </si>
  <si>
    <t>Apellido y  nombre</t>
  </si>
  <si>
    <t>Apellido  y nombre</t>
  </si>
  <si>
    <t>Localidad y/o barrio</t>
  </si>
  <si>
    <t>Dirección y/o Procedencia:</t>
  </si>
  <si>
    <t>Placa:</t>
  </si>
  <si>
    <t>Apique/Sondeo:</t>
  </si>
  <si>
    <t>Profundidad (m)</t>
  </si>
  <si>
    <t>Apellido y nombre:</t>
  </si>
  <si>
    <t>Apellido y  Nombre</t>
  </si>
  <si>
    <t>Apellido Y  nombre</t>
  </si>
  <si>
    <t>N°200</t>
  </si>
  <si>
    <t>Diferencia permitida 0,3%</t>
  </si>
  <si>
    <t>Fecha de Ejecución:</t>
  </si>
  <si>
    <t>(ANGULARIDAD) INV E 239-13</t>
  </si>
  <si>
    <t>Fecha de informe:</t>
  </si>
  <si>
    <t>Fecha de Informe:</t>
  </si>
  <si>
    <t>Fecha de informe :</t>
  </si>
  <si>
    <t>Muestra N°:</t>
  </si>
  <si>
    <t>FECHA DE APLICACIÓN: 2018-06-01</t>
  </si>
  <si>
    <t>FECHA DE APLICACION: 2018-06-01</t>
  </si>
  <si>
    <t>FECHA DE APLICACIÓN:  2018-06-01</t>
  </si>
  <si>
    <t xml:space="preserve"> RESISTENCIA A LA DEGRADACIÓN DE LOS AGREGADOS DE TAMAÑOS MENORES DE 37,5 mm (1 1/2") POR MEDIO DE LA MÁQUINA DE LOS ANGELES</t>
  </si>
  <si>
    <t>DETERMINACIÓN DE LA RESISTENCIA DEL AGREGADO GRUESO A LA DEGRADACIÓN POR ABRASIÓN  UTILIZANDO EL EQUIPO MICRO-DEVAL</t>
  </si>
  <si>
    <t>PORCENTAJE DE PARTÍCULAS FRACTURADAS EN UN AGREGADO GRUESO,  ÍNDICES DE APLANAMIENTO Y ALARGAMIENTO DE LOS  AGREGADOS PARA CARRETERAS</t>
  </si>
  <si>
    <t>CBR DE SUELOS COMPACTADOS EN EL LABORATORIO Y SOBRE MUESTRA INALTERADA</t>
  </si>
  <si>
    <t xml:space="preserve"> BG_Gr1</t>
  </si>
  <si>
    <t>RAP ESTABILIZADO</t>
  </si>
  <si>
    <t>Tamices</t>
  </si>
  <si>
    <t>MAXIMOS</t>
  </si>
  <si>
    <r>
      <t>2</t>
    </r>
    <r>
      <rPr>
        <sz val="8"/>
        <rFont val="Calibri"/>
        <family val="2"/>
      </rPr>
      <t>¼</t>
    </r>
    <r>
      <rPr>
        <sz val="8"/>
        <rFont val="Arial"/>
        <family val="2"/>
      </rPr>
      <t>"</t>
    </r>
  </si>
  <si>
    <t>MGCR TIPO 3</t>
  </si>
  <si>
    <t>MGCR TIPO 2</t>
  </si>
  <si>
    <t>MGCR TIPO 1</t>
  </si>
  <si>
    <t>11,81"</t>
  </si>
  <si>
    <t>% PASA</t>
  </si>
  <si>
    <t>1½" - 3/4"</t>
  </si>
  <si>
    <t>3/4" -  3/8"</t>
  </si>
  <si>
    <t xml:space="preserve">3/8" - N° 4 </t>
  </si>
  <si>
    <t>N° 4 -  N° 16</t>
  </si>
  <si>
    <t>N° 4 - °N8</t>
  </si>
  <si>
    <t>N° 8 - N°16</t>
  </si>
  <si>
    <t>N°16 - °N30</t>
  </si>
  <si>
    <t>No. 30 - N° 50</t>
  </si>
  <si>
    <t>2½" - 2</t>
  </si>
  <si>
    <t>2- 1½"</t>
  </si>
  <si>
    <t>1/2"-3/8"</t>
  </si>
  <si>
    <t>3/4- 1/2</t>
  </si>
  <si>
    <t>1½"- 1"</t>
  </si>
  <si>
    <t>1"-3/4"</t>
  </si>
  <si>
    <t xml:space="preserve">DETERMINACIÓN EN EL LABORATORIO DEL CONTENIDO DE AGUA (HUMEDAD) DE </t>
  </si>
  <si>
    <t>MUESTRAS DE SUELO, ROCA Y MEZCLAS DE SUELO-AGREGADO  INV E-122-13</t>
  </si>
  <si>
    <t>CÓDIGO: PRO-L-FM-003</t>
  </si>
  <si>
    <t xml:space="preserve">CONTENIDO DE AGUA </t>
  </si>
  <si>
    <t xml:space="preserve">TAMIZ TAMAÑO MAXIMO (PASA 100%) </t>
  </si>
  <si>
    <r>
      <t xml:space="preserve">METODO A </t>
    </r>
    <r>
      <rPr>
        <sz val="9"/>
        <rFont val="Calibri"/>
        <family val="2"/>
      </rPr>
      <t>±</t>
    </r>
    <r>
      <rPr>
        <sz val="9"/>
        <rFont val="Arial"/>
        <family val="2"/>
      </rPr>
      <t xml:space="preserve"> 1%</t>
    </r>
  </si>
  <si>
    <r>
      <t xml:space="preserve">METODO A </t>
    </r>
    <r>
      <rPr>
        <sz val="9"/>
        <rFont val="Calibri"/>
        <family val="2"/>
      </rPr>
      <t xml:space="preserve">± </t>
    </r>
    <r>
      <rPr>
        <sz val="9"/>
        <rFont val="Arial"/>
        <family val="2"/>
      </rPr>
      <t xml:space="preserve"> 0,1%</t>
    </r>
  </si>
  <si>
    <t xml:space="preserve">Método de ensayo </t>
  </si>
  <si>
    <t>MASA ESPECIMEN Kg</t>
  </si>
  <si>
    <t>LECTURA DE BALANZA 
g</t>
  </si>
  <si>
    <t xml:space="preserve">Temperatura de secado </t>
  </si>
  <si>
    <t>Algún material fue excluido del espécimen de prueba, si la respuesta es si, indique el tamaño y la cantidad</t>
  </si>
  <si>
    <t>W1: Masa del recipiente con el espécimen húmedo</t>
  </si>
  <si>
    <t>N°4</t>
  </si>
  <si>
    <t>W2: Masa del recipiente con el espécimen seco</t>
  </si>
  <si>
    <t>N°10</t>
  </si>
  <si>
    <t>W3: Masa del recipiente</t>
  </si>
  <si>
    <t xml:space="preserve">W: Contenido de agua </t>
  </si>
  <si>
    <t>Masa seca lavada pasa tamiz No. 200 (g)</t>
  </si>
  <si>
    <t>Limite inferior</t>
  </si>
  <si>
    <t>Limite superior</t>
  </si>
  <si>
    <t>Tamiz</t>
  </si>
  <si>
    <t>Especificación</t>
  </si>
  <si>
    <t>Especificación Técnica IDU Sección 400-11, Tabla 400.4</t>
  </si>
  <si>
    <t xml:space="preserve">3/4" </t>
  </si>
  <si>
    <t xml:space="preserve"> AG 1</t>
  </si>
  <si>
    <t>Especificación Técnica IDU Sección 600-11, Tabla 600.2</t>
  </si>
  <si>
    <t>AG 2</t>
  </si>
  <si>
    <t>GRAVA 1" CONCRETO</t>
  </si>
  <si>
    <t>AG 3</t>
  </si>
  <si>
    <t>AG 4</t>
  </si>
  <si>
    <t>ARENA PARA CONCRETO</t>
  </si>
  <si>
    <t>ARENA CONCRETO FINA</t>
  </si>
  <si>
    <t>Especificación Técnica IDU Sección 600-11, Tabla 600.4</t>
  </si>
  <si>
    <t>ARENA CONCRETO GRUESA</t>
  </si>
  <si>
    <t xml:space="preserve">Masa Retenida (g) </t>
  </si>
  <si>
    <t>Especificación Técnica IDU Sección 510-11, Tabla 510.4</t>
  </si>
  <si>
    <t>Especificación Técnica IDU Sección 560-11, Tabla 560.1</t>
  </si>
  <si>
    <t>RAJÓN</t>
  </si>
  <si>
    <t>Especificación Técnica IDU Sección 321-11, Numeral 321.3</t>
  </si>
  <si>
    <t>Especificación Técnica IDU Sección 340-11, Numeral 340.2.2.1</t>
  </si>
  <si>
    <t>Especificación Técnica IDU Sección 450-11, Tabla 450.1</t>
  </si>
  <si>
    <t>Modulo de finura</t>
  </si>
  <si>
    <t>masa que pasa N° 4</t>
  </si>
  <si>
    <t>Masa Mínima de ensayo Especificada (Si o No)</t>
  </si>
  <si>
    <t>La muestra contenía mas de un tipo de suelo (Si o No) cuales:</t>
  </si>
  <si>
    <t xml:space="preserve">Tamaño </t>
  </si>
  <si>
    <t>Cantidad</t>
  </si>
  <si>
    <t>Coordinador técnico</t>
  </si>
  <si>
    <t>CODIGO: GLAB-FM-013</t>
  </si>
  <si>
    <t xml:space="preserve">VARGAS PABLO </t>
  </si>
  <si>
    <t>Laboratorio de suelos, asfaltos y pavimentos de la UAERMV 
Sede de Producción Parque Minero Industrial El Mochuelo Kilometro 3 vía Pasquilla localidad Ciudad Bolívar, Bogotá D.C. - Colombia
Tel: 3779555 Ext. 1145   E- mail: p.laboratorio@umv.gov.co</t>
  </si>
  <si>
    <t xml:space="preserve">Masa retenida (g)                        </t>
  </si>
  <si>
    <t>Límites especificación
 (% pasa)</t>
  </si>
  <si>
    <t>retenido</t>
  </si>
  <si>
    <t>pasa</t>
  </si>
  <si>
    <t xml:space="preserve">CONTRERAS WILINTONG </t>
  </si>
  <si>
    <t xml:space="preserve">Lider operativo del proceso </t>
  </si>
  <si>
    <t xml:space="preserve">Técnico operativo </t>
  </si>
  <si>
    <t>Paginas</t>
  </si>
  <si>
    <t>Pagina</t>
  </si>
  <si>
    <t>de</t>
  </si>
  <si>
    <t>Pagina xx de xx</t>
  </si>
  <si>
    <t>VERIFICACIÓN DE LA MASA</t>
  </si>
  <si>
    <t>MATERIAL FILTRANTE 1"</t>
  </si>
  <si>
    <t>MATERIAL FILTRANTE 3"</t>
  </si>
  <si>
    <t>Ficha técnica contrato N° 448 UAERMV</t>
  </si>
  <si>
    <t>INFORME DE ENSAYO
 ANÁLISIS GRANULOMÉTRICO DE AGREGADOS GRUESO Y FINO INV E 213-13</t>
  </si>
  <si>
    <t>Masa seca lavada retenida tamiz No. 200 (g)</t>
  </si>
  <si>
    <t xml:space="preserve">Platón </t>
  </si>
  <si>
    <t>FECHA DE APLICACIÓN: DICIEMBRE 2024</t>
  </si>
  <si>
    <t>VERSION :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</si>
</sst>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7">
    <numFmt numFmtId="41" formatCode="_-* #,##0_-;\-* #,##0_-;_-* &quot;-&quot;_-;_-@_-"/>
    <numFmt numFmtId="43" formatCode="_-* #,##0.00_-;\-* #,##0.00_-;_-* &quot;-&quot;??_-;_-@_-"/>
    <numFmt numFmtId="164" formatCode="&quot;$&quot;\ #,##0.00_);\(&quot;$&quot;\ #,##0.00\)"/>
    <numFmt numFmtId="165" formatCode="_(* #,##0_);_(* \(#,##0\);_(* &quot;-&quot;_);_(@_)"/>
    <numFmt numFmtId="166" formatCode="_(* #,##0.00_);_(* \(#,##0.00\);_(* &quot;-&quot;??_);_(@_)"/>
    <numFmt numFmtId="167" formatCode="0.0"/>
    <numFmt numFmtId="168" formatCode="yyyy\-mm\-dd;@"/>
    <numFmt numFmtId="169" formatCode="_ * #,##0.00_ ;_ * \-#,##0.00_ ;_ * &quot;-&quot;??_ ;_ @_ "/>
    <numFmt numFmtId="170" formatCode="#,"/>
    <numFmt numFmtId="171" formatCode="_ [$€-2]\ * #,##0.00_ ;_ [$€-2]\ * \-#,##0.00_ ;_ [$€-2]\ * &quot;-&quot;??_ "/>
    <numFmt numFmtId="172" formatCode="#\ ?/2"/>
    <numFmt numFmtId="173" formatCode="0.000"/>
    <numFmt numFmtId="174" formatCode="#,##0\ &quot;$&quot;;\-#,##0\ &quot;$&quot;"/>
    <numFmt numFmtId="175" formatCode="0.0000"/>
    <numFmt numFmtId="176" formatCode="_(* #,##0.00000_);_(* \(#,##0.00000\);_(* &quot;-&quot;??_);_(@_)"/>
    <numFmt numFmtId="177" formatCode="_(&quot;€&quot;* #,##0.00_);_(&quot;€&quot;* \(#,##0.00\);_(&quot;€&quot;* &quot;-&quot;??_);_(@_)"/>
    <numFmt numFmtId="178" formatCode="#,##0\ &quot;$&quot;;[Red]\-#,##0\ &quot;$&quot;"/>
    <numFmt numFmtId="179" formatCode="_-* #,##0\ _P_t_s_-;\-* #,##0\ _P_t_s_-;_-* &quot;-&quot;??\ _P_t_s_-;_-@_-"/>
    <numFmt numFmtId="180" formatCode="_(* #,##0.000_);_(* \(#,##0.000\);_(* &quot;-&quot;??_);_(@_)"/>
    <numFmt numFmtId="181" formatCode="_-* #,##0.0\ _P_t_s_-;\-* #,##0.0\ _P_t_s_-;_-* &quot;-&quot;??\ _P_t_s_-;_-@_-"/>
    <numFmt numFmtId="182" formatCode="_ * #,##0_ ;_ * \-#,##0_ ;_ * &quot;-&quot;_ ;_ @_ "/>
    <numFmt numFmtId="183" formatCode="&quot;$&quot;#,##0\ ;\(&quot;$&quot;#,##0\)"/>
    <numFmt numFmtId="184" formatCode="General_)"/>
    <numFmt numFmtId="185" formatCode="#,##0.00\ &quot;$&quot;;\-#,##0.00\ &quot;$&quot;"/>
    <numFmt numFmtId="186" formatCode="d\ &quot;de&quot;\ mmmm\ &quot;de&quot;\ yyyy"/>
    <numFmt numFmtId="187" formatCode="_(&quot;$&quot;* #,##0_);_(&quot;$&quot;* \(#,##0\);_(&quot;$&quot;* &quot;-&quot;_);_(@_)"/>
    <numFmt numFmtId="188" formatCode="0.000\ &quot;g/cm³&quot;"/>
  </numFmts>
  <fonts count="155">
    <font>
      <sz val="11"/>
      <color theme="1"/>
      <name val="Calibri"/>
      <family val="2"/>
      <scheme val="minor"/>
    </font>
    <font>
      <sz val="10"/>
      <name val="Arial"/>
      <family val="2"/>
    </font>
    <font>
      <sz val="8"/>
      <name val="Arial"/>
      <family val="2"/>
    </font>
    <font>
      <b/>
      <sz val="10"/>
      <name val="Arial"/>
      <family val="2"/>
    </font>
    <font>
      <sz val="9"/>
      <name val="Arial"/>
      <family val="2"/>
    </font>
    <font>
      <b/>
      <sz val="9"/>
      <name val="Arial"/>
      <family val="2"/>
    </font>
    <font>
      <b/>
      <sz val="7"/>
      <name val="Arial"/>
      <family val="2"/>
    </font>
    <font>
      <b/>
      <sz val="8"/>
      <color indexed="15"/>
      <name val="Arial"/>
      <family val="2"/>
    </font>
    <font>
      <b/>
      <i/>
      <sz val="10"/>
      <name val="Arial"/>
      <family val="2"/>
    </font>
    <font>
      <b/>
      <i/>
      <sz val="9"/>
      <color rgb="FFFF0000"/>
      <name val="Arial"/>
      <family val="2"/>
    </font>
    <font>
      <sz val="10"/>
      <color rgb="FFFF0000"/>
      <name val="Arial"/>
      <family val="2"/>
    </font>
    <font>
      <i/>
      <sz val="10"/>
      <color rgb="FFFF0000"/>
      <name val="Arial"/>
      <family val="2"/>
    </font>
    <font>
      <sz val="8"/>
      <color rgb="FFFF0000"/>
      <name val="Arial"/>
      <family val="2"/>
    </font>
    <font>
      <b/>
      <sz val="7"/>
      <color rgb="FFFF0000"/>
      <name val="Arial"/>
      <family val="2"/>
    </font>
    <font>
      <b/>
      <sz val="9"/>
      <color rgb="FFFF0000"/>
      <name val="Arial"/>
      <family val="2"/>
    </font>
    <font>
      <sz val="9"/>
      <color rgb="FFFF0000"/>
      <name val="Arial"/>
      <family val="2"/>
    </font>
    <font>
      <sz val="7"/>
      <name val="Arial"/>
      <family val="2"/>
    </font>
    <font>
      <sz val="1"/>
      <color indexed="16"/>
      <name val="Courier"/>
      <family val="3"/>
    </font>
    <font>
      <i/>
      <sz val="1"/>
      <color indexed="16"/>
      <name val="Courier"/>
      <family val="3"/>
    </font>
    <font>
      <b/>
      <sz val="1"/>
      <color indexed="16"/>
      <name val="Courier"/>
      <family val="3"/>
    </font>
    <font>
      <sz val="5"/>
      <name val="Arial"/>
      <family val="2"/>
    </font>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10"/>
      <color theme="0"/>
      <name val="Arial"/>
      <family val="2"/>
    </font>
    <font>
      <sz val="11"/>
      <color rgb="FFFF0000"/>
      <name val="Times New Roman"/>
      <family val="1"/>
    </font>
    <font>
      <sz val="11"/>
      <color theme="0"/>
      <name val="Calibri"/>
      <family val="2"/>
      <scheme val="minor"/>
    </font>
    <font>
      <sz val="9"/>
      <color theme="0"/>
      <name val="Arial"/>
      <family val="2"/>
    </font>
    <font>
      <b/>
      <sz val="8"/>
      <name val="Arial"/>
      <family val="2"/>
    </font>
    <font>
      <i/>
      <sz val="8"/>
      <name val="Arial"/>
      <family val="2"/>
    </font>
    <font>
      <b/>
      <i/>
      <sz val="8"/>
      <name val="Arial"/>
      <family val="2"/>
    </font>
    <font>
      <sz val="12"/>
      <name val="Arial"/>
      <family val="2"/>
    </font>
    <font>
      <sz val="7"/>
      <color theme="0" tint="-0.499984740745262"/>
      <name val="Arial"/>
      <family val="2"/>
    </font>
    <font>
      <sz val="10"/>
      <name val="Times New Roman"/>
      <family val="1"/>
    </font>
    <font>
      <sz val="11"/>
      <color theme="1"/>
      <name val="Arial"/>
      <family val="2"/>
    </font>
    <font>
      <sz val="10"/>
      <name val="Arial"/>
      <family val="2"/>
    </font>
    <font>
      <b/>
      <sz val="12"/>
      <name val="Arial"/>
      <family val="2"/>
    </font>
    <font>
      <sz val="9"/>
      <color indexed="81"/>
      <name val="Tahoma"/>
      <family val="2"/>
    </font>
    <font>
      <sz val="11"/>
      <color theme="1"/>
      <name val="Calibri"/>
      <family val="2"/>
      <scheme val="minor"/>
    </font>
    <font>
      <b/>
      <i/>
      <sz val="12"/>
      <name val="Arial"/>
      <family val="2"/>
    </font>
    <font>
      <i/>
      <sz val="10"/>
      <name val="Arial"/>
      <family val="2"/>
    </font>
    <font>
      <b/>
      <sz val="16"/>
      <color indexed="10"/>
      <name val="Arial"/>
      <family val="2"/>
    </font>
    <font>
      <b/>
      <sz val="16"/>
      <color indexed="12"/>
      <name val="Arial"/>
      <family val="2"/>
    </font>
    <font>
      <sz val="10"/>
      <color indexed="10"/>
      <name val="Arial"/>
      <family val="2"/>
    </font>
    <font>
      <u/>
      <sz val="11"/>
      <color theme="10"/>
      <name val="Arial"/>
      <family val="2"/>
    </font>
    <font>
      <u/>
      <sz val="8.5"/>
      <color indexed="12"/>
      <name val="Times New Roman"/>
      <family val="1"/>
    </font>
    <font>
      <u/>
      <sz val="11"/>
      <color theme="10"/>
      <name val="Calibri"/>
      <family val="2"/>
    </font>
    <font>
      <u/>
      <sz val="10"/>
      <color indexed="12"/>
      <name val="Arial"/>
      <family val="2"/>
    </font>
    <font>
      <sz val="10"/>
      <name val="Arial Rounded MT Bold"/>
      <family val="2"/>
    </font>
    <font>
      <sz val="10"/>
      <color indexed="9"/>
      <name val="Arial"/>
      <family val="2"/>
    </font>
    <font>
      <sz val="10"/>
      <name val="MS Sans Serif"/>
      <family val="2"/>
    </font>
    <font>
      <b/>
      <sz val="8.5"/>
      <name val="Arial"/>
      <family val="2"/>
    </font>
    <font>
      <vertAlign val="subscript"/>
      <sz val="10"/>
      <name val="Arial"/>
      <family val="2"/>
    </font>
    <font>
      <vertAlign val="subscript"/>
      <sz val="8"/>
      <name val="Arial"/>
      <family val="2"/>
    </font>
    <font>
      <i/>
      <sz val="9"/>
      <name val="Arial"/>
      <family val="2"/>
    </font>
    <font>
      <sz val="10"/>
      <color indexed="24"/>
      <name val="Modern"/>
      <family val="3"/>
      <charset val="255"/>
    </font>
    <font>
      <sz val="10"/>
      <name val="Helv"/>
    </font>
    <font>
      <b/>
      <sz val="10"/>
      <color indexed="24"/>
      <name val="Modern"/>
      <family val="3"/>
      <charset val="255"/>
    </font>
    <font>
      <sz val="8"/>
      <color indexed="24"/>
      <name val="Arial"/>
      <family val="2"/>
    </font>
    <font>
      <sz val="10"/>
      <color indexed="24"/>
      <name val="Arial"/>
      <family val="2"/>
    </font>
    <font>
      <sz val="8"/>
      <name val="Courier"/>
      <family val="3"/>
    </font>
    <font>
      <sz val="12"/>
      <name val="Times New Roman"/>
      <family val="1"/>
    </font>
    <font>
      <sz val="11"/>
      <name val="Arial"/>
      <family val="2"/>
    </font>
    <font>
      <b/>
      <sz val="14"/>
      <color indexed="9"/>
      <name val="Tahoma"/>
      <family val="2"/>
    </font>
    <font>
      <vertAlign val="superscript"/>
      <sz val="10"/>
      <name val="Arial"/>
      <family val="2"/>
    </font>
    <font>
      <vertAlign val="subscript"/>
      <sz val="9"/>
      <name val="Arial"/>
      <family val="2"/>
    </font>
    <font>
      <b/>
      <sz val="8"/>
      <color indexed="8"/>
      <name val="Arial"/>
      <family val="2"/>
    </font>
    <font>
      <b/>
      <sz val="10"/>
      <color indexed="8"/>
      <name val="Arial"/>
      <family val="2"/>
    </font>
    <font>
      <sz val="10"/>
      <name val="Tahoma"/>
      <family val="2"/>
    </font>
    <font>
      <sz val="10"/>
      <color indexed="8"/>
      <name val="Arial"/>
      <family val="2"/>
    </font>
    <font>
      <b/>
      <sz val="11"/>
      <color indexed="8"/>
      <name val="Arial"/>
      <family val="2"/>
    </font>
    <font>
      <b/>
      <sz val="14"/>
      <color indexed="8"/>
      <name val="Arial"/>
      <family val="2"/>
    </font>
    <font>
      <sz val="8"/>
      <color indexed="8"/>
      <name val="Arial"/>
      <family val="2"/>
    </font>
    <font>
      <vertAlign val="superscript"/>
      <sz val="10"/>
      <color indexed="8"/>
      <name val="Arial"/>
      <family val="2"/>
    </font>
    <font>
      <b/>
      <vertAlign val="superscript"/>
      <sz val="10"/>
      <color indexed="8"/>
      <name val="Arial"/>
      <family val="2"/>
    </font>
    <font>
      <b/>
      <sz val="12"/>
      <color indexed="8"/>
      <name val="Arial"/>
      <family val="2"/>
    </font>
    <font>
      <sz val="10"/>
      <color indexed="63"/>
      <name val="Arial"/>
      <family val="2"/>
    </font>
    <font>
      <vertAlign val="subscript"/>
      <sz val="11"/>
      <color theme="1"/>
      <name val="Calibri"/>
      <family val="2"/>
      <scheme val="minor"/>
    </font>
    <font>
      <vertAlign val="subscript"/>
      <sz val="11"/>
      <color indexed="8"/>
      <name val="Calibri"/>
      <family val="2"/>
    </font>
    <font>
      <vertAlign val="subscript"/>
      <sz val="10"/>
      <name val="Tahoma"/>
      <family val="2"/>
    </font>
    <font>
      <b/>
      <sz val="18"/>
      <color indexed="22"/>
      <name val="Arial"/>
      <family val="2"/>
    </font>
    <font>
      <b/>
      <sz val="12"/>
      <color indexed="22"/>
      <name val="Arial"/>
      <family val="2"/>
    </font>
    <font>
      <sz val="16"/>
      <name val="ALLWORK"/>
    </font>
    <font>
      <sz val="8"/>
      <name val="Tahoma"/>
      <family val="2"/>
    </font>
    <font>
      <sz val="16"/>
      <name val="Tahoma"/>
      <family val="2"/>
    </font>
    <font>
      <sz val="9"/>
      <name val="Tahoma"/>
      <family val="2"/>
    </font>
    <font>
      <vertAlign val="superscript"/>
      <sz val="10"/>
      <name val="Tahoma"/>
      <family val="2"/>
    </font>
    <font>
      <sz val="8"/>
      <color theme="1" tint="0.499984740745262"/>
      <name val="Arial"/>
      <family val="2"/>
    </font>
    <font>
      <sz val="9"/>
      <color indexed="10"/>
      <name val="Arial"/>
      <family val="2"/>
    </font>
    <font>
      <i/>
      <sz val="11"/>
      <name val="Arial"/>
      <family val="2"/>
    </font>
    <font>
      <sz val="9"/>
      <color theme="1"/>
      <name val="Arial"/>
      <family val="2"/>
    </font>
    <font>
      <sz val="9"/>
      <color theme="1" tint="0.499984740745262"/>
      <name val="Arial"/>
      <family val="2"/>
    </font>
    <font>
      <b/>
      <sz val="8"/>
      <color theme="1" tint="0.499984740745262"/>
      <name val="Arial"/>
      <family val="2"/>
    </font>
    <font>
      <b/>
      <sz val="8"/>
      <color indexed="10"/>
      <name val="Arial"/>
      <family val="2"/>
    </font>
    <font>
      <sz val="6"/>
      <name val="Arial"/>
      <family val="2"/>
    </font>
    <font>
      <sz val="8.5"/>
      <name val="Arial"/>
      <family val="2"/>
    </font>
    <font>
      <sz val="7"/>
      <color theme="1" tint="0.499984740745262"/>
      <name val="Arial"/>
      <family val="2"/>
    </font>
    <font>
      <i/>
      <vertAlign val="subscript"/>
      <sz val="9"/>
      <name val="Arial"/>
      <family val="2"/>
    </font>
    <font>
      <vertAlign val="superscript"/>
      <sz val="9"/>
      <name val="Arial"/>
      <family val="2"/>
    </font>
    <font>
      <vertAlign val="superscript"/>
      <sz val="8"/>
      <name val="Arial"/>
      <family val="2"/>
    </font>
    <font>
      <b/>
      <sz val="9"/>
      <color indexed="8"/>
      <name val="Arial"/>
      <family val="2"/>
    </font>
    <font>
      <b/>
      <vertAlign val="superscript"/>
      <sz val="9"/>
      <color indexed="8"/>
      <name val="Arial"/>
      <family val="2"/>
    </font>
    <font>
      <sz val="9"/>
      <color indexed="8"/>
      <name val="Arial"/>
      <family val="2"/>
    </font>
    <font>
      <vertAlign val="subscript"/>
      <sz val="8"/>
      <color rgb="FFFF0000"/>
      <name val="Arial"/>
      <family val="2"/>
    </font>
    <font>
      <sz val="8"/>
      <color theme="1"/>
      <name val="Tahoma"/>
      <family val="2"/>
    </font>
    <font>
      <vertAlign val="subscript"/>
      <sz val="8"/>
      <color theme="1"/>
      <name val="Tahoma"/>
      <family val="2"/>
    </font>
    <font>
      <sz val="10"/>
      <color theme="1"/>
      <name val="Tahoma"/>
      <family val="2"/>
    </font>
    <font>
      <b/>
      <sz val="10"/>
      <color theme="1"/>
      <name val="Tahoma"/>
      <family val="2"/>
    </font>
    <font>
      <vertAlign val="superscript"/>
      <sz val="8"/>
      <color theme="1"/>
      <name val="Tahoma"/>
      <family val="2"/>
    </font>
    <font>
      <b/>
      <sz val="9"/>
      <color theme="1"/>
      <name val="Tahoma"/>
      <family val="2"/>
    </font>
    <font>
      <b/>
      <sz val="8"/>
      <color theme="1"/>
      <name val="Tahoma"/>
      <family val="2"/>
    </font>
    <font>
      <sz val="8"/>
      <color theme="1"/>
      <name val="Arial"/>
      <family val="2"/>
    </font>
    <font>
      <sz val="10"/>
      <color theme="1"/>
      <name val="Arial"/>
      <family val="2"/>
    </font>
    <font>
      <sz val="12"/>
      <name val="Calibri"/>
      <family val="2"/>
      <scheme val="minor"/>
    </font>
    <font>
      <sz val="10"/>
      <name val="Calibri"/>
      <family val="2"/>
      <scheme val="minor"/>
    </font>
    <font>
      <sz val="11"/>
      <name val="Calibri"/>
      <family val="2"/>
      <scheme val="minor"/>
    </font>
    <font>
      <sz val="12"/>
      <color theme="1"/>
      <name val="Calibri"/>
      <family val="2"/>
      <scheme val="minor"/>
    </font>
    <font>
      <b/>
      <sz val="11"/>
      <color theme="1"/>
      <name val="Arial"/>
      <family val="2"/>
    </font>
    <font>
      <sz val="8"/>
      <color rgb="FFFF0000"/>
      <name val="Tahoma"/>
      <family val="2"/>
    </font>
    <font>
      <sz val="9"/>
      <color rgb="FFFF0000"/>
      <name val="Tahoma"/>
      <family val="2"/>
    </font>
    <font>
      <sz val="10"/>
      <color rgb="FFFF0000"/>
      <name val="Tahoma"/>
      <family val="2"/>
    </font>
    <font>
      <b/>
      <sz val="10"/>
      <color rgb="FFFF0000"/>
      <name val="Arial"/>
      <family val="2"/>
    </font>
    <font>
      <b/>
      <sz val="10"/>
      <color rgb="FFFFFF00"/>
      <name val="Arial"/>
      <family val="2"/>
    </font>
    <font>
      <sz val="10"/>
      <color rgb="FFFFFF00"/>
      <name val="Arial"/>
      <family val="2"/>
    </font>
    <font>
      <sz val="8"/>
      <color rgb="FFFFFF00"/>
      <name val="Arial"/>
      <family val="2"/>
    </font>
    <font>
      <sz val="10"/>
      <name val="Calibri"/>
      <family val="2"/>
    </font>
    <font>
      <sz val="8"/>
      <color theme="0"/>
      <name val="Arial"/>
      <family val="2"/>
    </font>
    <font>
      <b/>
      <sz val="8"/>
      <color theme="1"/>
      <name val="Arial"/>
      <family val="2"/>
    </font>
    <font>
      <sz val="8"/>
      <color theme="0"/>
      <name val="Calibri"/>
      <family val="2"/>
      <scheme val="minor"/>
    </font>
    <font>
      <b/>
      <sz val="8"/>
      <color rgb="FFFFFF00"/>
      <name val="Arial"/>
      <family val="2"/>
    </font>
    <font>
      <sz val="8"/>
      <color theme="0" tint="-0.499984740745262"/>
      <name val="Arial"/>
      <family val="2"/>
    </font>
    <font>
      <sz val="8"/>
      <name val="Calibri"/>
      <family val="2"/>
    </font>
    <font>
      <sz val="7"/>
      <color theme="1"/>
      <name val="Arial"/>
      <family val="2"/>
    </font>
    <font>
      <sz val="9"/>
      <name val="Calibri"/>
      <family val="2"/>
    </font>
    <font>
      <sz val="10"/>
      <color theme="0" tint="-0.14999847407452621"/>
      <name val="Arial"/>
      <family val="2"/>
    </font>
    <font>
      <sz val="7"/>
      <color rgb="FFFF0000"/>
      <name val="Arial"/>
      <family val="2"/>
    </font>
    <font>
      <sz val="8"/>
      <color theme="0" tint="-0.34998626667073579"/>
      <name val="Arial"/>
      <family val="2"/>
    </font>
    <font>
      <sz val="10"/>
      <color theme="0" tint="-0.34998626667073579"/>
      <name val="Arial"/>
      <family val="2"/>
    </font>
    <font>
      <sz val="10"/>
      <color theme="1" tint="0.499984740745262"/>
      <name val="Arial"/>
      <family val="2"/>
    </font>
    <font>
      <b/>
      <i/>
      <sz val="9"/>
      <color theme="1"/>
      <name val="Arial"/>
      <family val="2"/>
    </font>
  </fonts>
  <fills count="41">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15"/>
        <bgColor indexed="64"/>
      </patternFill>
    </fill>
    <fill>
      <patternFill patternType="solid">
        <fgColor indexed="13"/>
        <bgColor indexed="64"/>
      </patternFill>
    </fill>
    <fill>
      <patternFill patternType="solid">
        <fgColor indexed="52"/>
        <bgColor indexed="64"/>
      </patternFill>
    </fill>
    <fill>
      <patternFill patternType="solid">
        <fgColor indexed="43"/>
        <bgColor indexed="64"/>
      </patternFill>
    </fill>
    <fill>
      <patternFill patternType="solid">
        <fgColor indexed="65"/>
        <bgColor indexed="64"/>
      </patternFill>
    </fill>
    <fill>
      <patternFill patternType="solid">
        <fgColor indexed="10"/>
        <bgColor indexed="64"/>
      </patternFill>
    </fill>
    <fill>
      <patternFill patternType="gray0625">
        <bgColor theme="0"/>
      </patternFill>
    </fill>
    <fill>
      <patternFill patternType="gray0625">
        <fgColor theme="1" tint="0.499984740745262"/>
        <bgColor indexed="65"/>
      </patternFill>
    </fill>
    <fill>
      <patternFill patternType="gray0625">
        <fgColor theme="0" tint="-0.499984740745262"/>
        <bgColor theme="0"/>
      </patternFill>
    </fill>
    <fill>
      <patternFill patternType="gray0625">
        <fgColor theme="0" tint="-0.24994659260841701"/>
        <bgColor indexed="65"/>
      </patternFill>
    </fill>
    <fill>
      <patternFill patternType="solid">
        <fgColor rgb="FFFF0000"/>
        <bgColor indexed="64"/>
      </patternFill>
    </fill>
    <fill>
      <patternFill patternType="solid">
        <fgColor rgb="FF00B050"/>
        <bgColor indexed="64"/>
      </patternFill>
    </fill>
  </fills>
  <borders count="234">
    <border>
      <left/>
      <right/>
      <top/>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bottom style="thin">
        <color theme="1" tint="0.499984740745262"/>
      </bottom>
      <diagonal/>
    </border>
    <border>
      <left style="thin">
        <color indexed="64"/>
      </left>
      <right/>
      <top/>
      <bottom style="double">
        <color theme="1"/>
      </bottom>
      <diagonal/>
    </border>
    <border>
      <left/>
      <right/>
      <top/>
      <bottom style="double">
        <color theme="1"/>
      </bottom>
      <diagonal/>
    </border>
    <border>
      <left style="thin">
        <color theme="1"/>
      </left>
      <right/>
      <top/>
      <bottom style="double">
        <color theme="1"/>
      </bottom>
      <diagonal/>
    </border>
    <border>
      <left/>
      <right style="thin">
        <color theme="1"/>
      </right>
      <top/>
      <bottom style="double">
        <color theme="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right/>
      <top style="thin">
        <color theme="1" tint="0.499984740745262"/>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ouble">
        <color indexed="64"/>
      </top>
      <bottom style="thin">
        <color theme="1" tint="0.499984740745262"/>
      </bottom>
      <diagonal/>
    </border>
    <border>
      <left/>
      <right/>
      <top style="hair">
        <color indexed="64"/>
      </top>
      <bottom/>
      <diagonal/>
    </border>
    <border>
      <left style="thin">
        <color theme="1"/>
      </left>
      <right style="thin">
        <color theme="1"/>
      </right>
      <top style="thin">
        <color theme="1"/>
      </top>
      <bottom/>
      <diagonal/>
    </border>
    <border>
      <left style="thin">
        <color theme="1"/>
      </left>
      <right style="thin">
        <color theme="1"/>
      </right>
      <top/>
      <bottom/>
      <diagonal/>
    </border>
    <border>
      <left style="medium">
        <color indexed="64"/>
      </left>
      <right/>
      <top style="thin">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style="thin">
        <color theme="1"/>
      </top>
      <bottom/>
      <diagonal/>
    </border>
    <border>
      <left/>
      <right style="thin">
        <color theme="1"/>
      </right>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thin">
        <color indexed="64"/>
      </bottom>
      <diagonal/>
    </border>
    <border>
      <left/>
      <right style="thin">
        <color theme="1"/>
      </right>
      <top style="thin">
        <color indexed="64"/>
      </top>
      <bottom/>
      <diagonal/>
    </border>
    <border>
      <left style="thin">
        <color indexed="64"/>
      </left>
      <right style="thin">
        <color theme="1"/>
      </right>
      <top/>
      <bottom style="thin">
        <color indexed="64"/>
      </bottom>
      <diagonal/>
    </border>
    <border>
      <left style="thin">
        <color theme="1"/>
      </left>
      <right/>
      <top/>
      <bottom style="double">
        <color indexed="64"/>
      </bottom>
      <diagonal/>
    </border>
    <border>
      <left style="thin">
        <color theme="1"/>
      </left>
      <right style="thin">
        <color indexed="64"/>
      </right>
      <top/>
      <bottom/>
      <diagonal/>
    </border>
    <border>
      <left style="thin">
        <color theme="1"/>
      </left>
      <right/>
      <top style="thin">
        <color indexed="64"/>
      </top>
      <bottom/>
      <diagonal/>
    </border>
    <border>
      <left style="medium">
        <color indexed="10"/>
      </left>
      <right/>
      <top style="medium">
        <color indexed="10"/>
      </top>
      <bottom/>
      <diagonal/>
    </border>
    <border>
      <left/>
      <right style="medium">
        <color indexed="10"/>
      </right>
      <top style="medium">
        <color indexed="10"/>
      </top>
      <bottom/>
      <diagonal/>
    </border>
    <border>
      <left style="medium">
        <color indexed="10"/>
      </left>
      <right/>
      <top/>
      <bottom style="thin">
        <color indexed="10"/>
      </bottom>
      <diagonal/>
    </border>
    <border>
      <left/>
      <right style="medium">
        <color indexed="10"/>
      </right>
      <top/>
      <bottom style="thin">
        <color indexed="10"/>
      </bottom>
      <diagonal/>
    </border>
    <border>
      <left style="medium">
        <color indexed="10"/>
      </left>
      <right style="thin">
        <color indexed="10"/>
      </right>
      <top style="thin">
        <color indexed="10"/>
      </top>
      <bottom style="medium">
        <color indexed="10"/>
      </bottom>
      <diagonal/>
    </border>
    <border>
      <left style="thin">
        <color indexed="10"/>
      </left>
      <right style="medium">
        <color indexed="10"/>
      </right>
      <top style="thin">
        <color indexed="10"/>
      </top>
      <bottom style="medium">
        <color indexed="10"/>
      </bottom>
      <diagonal/>
    </border>
    <border>
      <left style="medium">
        <color indexed="10"/>
      </left>
      <right style="thin">
        <color indexed="10"/>
      </right>
      <top style="thin">
        <color indexed="10"/>
      </top>
      <bottom style="thin">
        <color indexed="10"/>
      </bottom>
      <diagonal/>
    </border>
    <border>
      <left style="thin">
        <color indexed="10"/>
      </left>
      <right style="medium">
        <color indexed="10"/>
      </right>
      <top style="thin">
        <color indexed="10"/>
      </top>
      <bottom style="thin">
        <color indexed="10"/>
      </bottom>
      <diagonal/>
    </border>
    <border>
      <left style="medium">
        <color indexed="10"/>
      </left>
      <right style="thin">
        <color indexed="10"/>
      </right>
      <top style="medium">
        <color indexed="10"/>
      </top>
      <bottom style="thin">
        <color indexed="10"/>
      </bottom>
      <diagonal/>
    </border>
    <border>
      <left style="thin">
        <color indexed="10"/>
      </left>
      <right style="medium">
        <color indexed="10"/>
      </right>
      <top style="medium">
        <color indexed="10"/>
      </top>
      <bottom style="thin">
        <color indexed="10"/>
      </bottom>
      <diagonal/>
    </border>
    <border>
      <left style="thin">
        <color indexed="12"/>
      </left>
      <right style="thin">
        <color indexed="12"/>
      </right>
      <top style="thin">
        <color indexed="12"/>
      </top>
      <bottom style="thin">
        <color indexed="12"/>
      </bottom>
      <diagonal/>
    </border>
    <border>
      <left style="double">
        <color indexed="17"/>
      </left>
      <right/>
      <top style="double">
        <color indexed="17"/>
      </top>
      <bottom/>
      <diagonal/>
    </border>
    <border>
      <left/>
      <right style="double">
        <color indexed="17"/>
      </right>
      <top style="double">
        <color indexed="17"/>
      </top>
      <bottom/>
      <diagonal/>
    </border>
    <border>
      <left style="double">
        <color indexed="17"/>
      </left>
      <right/>
      <top/>
      <bottom/>
      <diagonal/>
    </border>
    <border>
      <left/>
      <right style="double">
        <color indexed="17"/>
      </right>
      <top/>
      <bottom/>
      <diagonal/>
    </border>
    <border>
      <left style="double">
        <color indexed="17"/>
      </left>
      <right/>
      <top/>
      <bottom style="double">
        <color indexed="17"/>
      </bottom>
      <diagonal/>
    </border>
    <border>
      <left/>
      <right style="double">
        <color indexed="17"/>
      </right>
      <top/>
      <bottom style="double">
        <color indexed="17"/>
      </bottom>
      <diagonal/>
    </border>
    <border>
      <left style="medium">
        <color indexed="60"/>
      </left>
      <right/>
      <top style="medium">
        <color indexed="60"/>
      </top>
      <bottom/>
      <diagonal/>
    </border>
    <border>
      <left/>
      <right/>
      <top style="medium">
        <color indexed="60"/>
      </top>
      <bottom/>
      <diagonal/>
    </border>
    <border>
      <left/>
      <right style="medium">
        <color indexed="60"/>
      </right>
      <top style="medium">
        <color indexed="60"/>
      </top>
      <bottom/>
      <diagonal/>
    </border>
    <border>
      <left style="medium">
        <color indexed="60"/>
      </left>
      <right/>
      <top/>
      <bottom/>
      <diagonal/>
    </border>
    <border>
      <left/>
      <right style="medium">
        <color indexed="60"/>
      </right>
      <top/>
      <bottom/>
      <diagonal/>
    </border>
    <border>
      <left style="medium">
        <color indexed="60"/>
      </left>
      <right/>
      <top/>
      <bottom style="medium">
        <color indexed="60"/>
      </bottom>
      <diagonal/>
    </border>
    <border>
      <left/>
      <right/>
      <top/>
      <bottom style="medium">
        <color indexed="60"/>
      </bottom>
      <diagonal/>
    </border>
    <border>
      <left/>
      <right style="medium">
        <color indexed="60"/>
      </right>
      <top/>
      <bottom style="medium">
        <color indexed="60"/>
      </bottom>
      <diagonal/>
    </border>
    <border>
      <left style="thin">
        <color indexed="64"/>
      </left>
      <right style="thin">
        <color theme="1"/>
      </right>
      <top style="thin">
        <color indexed="64"/>
      </top>
      <bottom/>
      <diagonal/>
    </border>
    <border>
      <left/>
      <right style="thin">
        <color indexed="64"/>
      </right>
      <top style="thin">
        <color theme="1"/>
      </top>
      <bottom/>
      <diagonal/>
    </border>
    <border>
      <left/>
      <right/>
      <top style="dotted">
        <color theme="1" tint="0.499984740745262"/>
      </top>
      <bottom style="dotted">
        <color theme="1" tint="0.499984740745262"/>
      </bottom>
      <diagonal/>
    </border>
    <border>
      <left style="thin">
        <color indexed="64"/>
      </left>
      <right/>
      <top/>
      <bottom style="dotted">
        <color theme="1" tint="0.499984740745262"/>
      </bottom>
      <diagonal/>
    </border>
    <border>
      <left/>
      <right/>
      <top/>
      <bottom style="dotted">
        <color theme="1" tint="0.499984740745262"/>
      </bottom>
      <diagonal/>
    </border>
    <border>
      <left/>
      <right style="thin">
        <color indexed="64"/>
      </right>
      <top/>
      <bottom style="dotted">
        <color theme="1" tint="0.499984740745262"/>
      </bottom>
      <diagonal/>
    </border>
    <border>
      <left/>
      <right/>
      <top style="thin">
        <color theme="1"/>
      </top>
      <bottom style="thin">
        <color indexed="64"/>
      </bottom>
      <diagonal/>
    </border>
    <border>
      <left style="thin">
        <color indexed="64"/>
      </left>
      <right/>
      <top style="thin">
        <color theme="1"/>
      </top>
      <bottom style="thin">
        <color indexed="64"/>
      </bottom>
      <diagonal/>
    </border>
    <border>
      <left/>
      <right style="thin">
        <color theme="1"/>
      </right>
      <top style="thin">
        <color theme="1"/>
      </top>
      <bottom style="thin">
        <color indexed="64"/>
      </bottom>
      <diagonal/>
    </border>
    <border>
      <left/>
      <right style="thin">
        <color theme="1"/>
      </right>
      <top/>
      <bottom style="dotted">
        <color theme="1" tint="0.499984740745262"/>
      </bottom>
      <diagonal/>
    </border>
    <border>
      <left/>
      <right/>
      <top style="thin">
        <color indexed="64"/>
      </top>
      <bottom style="thin">
        <color theme="1"/>
      </bottom>
      <diagonal/>
    </border>
    <border>
      <left/>
      <right style="thin">
        <color theme="1"/>
      </right>
      <top style="thin">
        <color indexed="64"/>
      </top>
      <bottom style="thin">
        <color theme="1"/>
      </bottom>
      <diagonal/>
    </border>
    <border>
      <left/>
      <right style="thin">
        <color theme="1"/>
      </right>
      <top/>
      <bottom style="double">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bottom style="thin">
        <color theme="1"/>
      </bottom>
      <diagonal/>
    </border>
    <border>
      <left/>
      <right style="thin">
        <color indexed="64"/>
      </right>
      <top/>
      <bottom style="thin">
        <color theme="1"/>
      </bottom>
      <diagonal/>
    </border>
    <border>
      <left style="thin">
        <color indexed="64"/>
      </left>
      <right/>
      <top style="double">
        <color theme="1"/>
      </top>
      <bottom style="double">
        <color indexed="64"/>
      </bottom>
      <diagonal/>
    </border>
    <border>
      <left/>
      <right/>
      <top style="double">
        <color theme="1"/>
      </top>
      <bottom style="double">
        <color indexed="64"/>
      </bottom>
      <diagonal/>
    </border>
    <border>
      <left style="thin">
        <color indexed="64"/>
      </left>
      <right/>
      <top style="dashed">
        <color theme="1" tint="0.499984740745262"/>
      </top>
      <bottom style="thin">
        <color indexed="64"/>
      </bottom>
      <diagonal/>
    </border>
    <border>
      <left/>
      <right/>
      <top style="dashed">
        <color theme="1" tint="0.499984740745262"/>
      </top>
      <bottom style="thin">
        <color indexed="64"/>
      </bottom>
      <diagonal/>
    </border>
    <border>
      <left style="dashed">
        <color theme="1" tint="0.499984740745262"/>
      </left>
      <right/>
      <top style="dashed">
        <color theme="1" tint="0.499984740745262"/>
      </top>
      <bottom style="thin">
        <color indexed="64"/>
      </bottom>
      <diagonal/>
    </border>
    <border>
      <left/>
      <right style="thin">
        <color indexed="64"/>
      </right>
      <top style="dashed">
        <color theme="1" tint="0.499984740745262"/>
      </top>
      <bottom style="thin">
        <color indexed="64"/>
      </bottom>
      <diagonal/>
    </border>
    <border>
      <left style="thin">
        <color indexed="64"/>
      </left>
      <right style="thin">
        <color indexed="64"/>
      </right>
      <top style="thin">
        <color theme="1"/>
      </top>
      <bottom style="dashed">
        <color theme="1" tint="0.499984740745262"/>
      </bottom>
      <diagonal/>
    </border>
    <border>
      <left style="thin">
        <color indexed="64"/>
      </left>
      <right/>
      <top style="thin">
        <color theme="1"/>
      </top>
      <bottom style="dashed">
        <color theme="1" tint="0.499984740745262"/>
      </bottom>
      <diagonal/>
    </border>
    <border>
      <left/>
      <right/>
      <top style="thin">
        <color theme="1"/>
      </top>
      <bottom style="dashed">
        <color theme="1" tint="0.499984740745262"/>
      </bottom>
      <diagonal/>
    </border>
    <border>
      <left/>
      <right style="thin">
        <color indexed="64"/>
      </right>
      <top style="thin">
        <color theme="1"/>
      </top>
      <bottom style="dashed">
        <color theme="1" tint="0.499984740745262"/>
      </bottom>
      <diagonal/>
    </border>
    <border>
      <left style="thin">
        <color indexed="64"/>
      </left>
      <right style="thin">
        <color indexed="64"/>
      </right>
      <top/>
      <bottom style="dashed">
        <color theme="1" tint="0.499984740745262"/>
      </bottom>
      <diagonal/>
    </border>
    <border>
      <left style="thin">
        <color indexed="64"/>
      </left>
      <right/>
      <top/>
      <bottom style="dashed">
        <color theme="1" tint="0.499984740745262"/>
      </bottom>
      <diagonal/>
    </border>
    <border>
      <left/>
      <right/>
      <top/>
      <bottom style="dashed">
        <color theme="1" tint="0.499984740745262"/>
      </bottom>
      <diagonal/>
    </border>
    <border>
      <left style="thin">
        <color indexed="64"/>
      </left>
      <right style="thin">
        <color indexed="64"/>
      </right>
      <top style="dashed">
        <color theme="1" tint="0.499984740745262"/>
      </top>
      <bottom style="dashed">
        <color theme="1" tint="0.499984740745262"/>
      </bottom>
      <diagonal/>
    </border>
    <border>
      <left style="thin">
        <color indexed="64"/>
      </left>
      <right/>
      <top style="dashed">
        <color theme="1" tint="0.499984740745262"/>
      </top>
      <bottom style="dashed">
        <color theme="1" tint="0.499984740745262"/>
      </bottom>
      <diagonal/>
    </border>
    <border>
      <left/>
      <right/>
      <top style="dashed">
        <color theme="1" tint="0.499984740745262"/>
      </top>
      <bottom style="dashed">
        <color theme="1" tint="0.499984740745262"/>
      </bottom>
      <diagonal/>
    </border>
    <border>
      <left/>
      <right style="thin">
        <color indexed="64"/>
      </right>
      <top style="dashed">
        <color theme="1" tint="0.499984740745262"/>
      </top>
      <bottom style="dashed">
        <color theme="1" tint="0.499984740745262"/>
      </bottom>
      <diagonal/>
    </border>
    <border>
      <left style="dashed">
        <color theme="1" tint="0.499984740745262"/>
      </left>
      <right style="thin">
        <color indexed="64"/>
      </right>
      <top style="dashed">
        <color theme="1" tint="0.499984740745262"/>
      </top>
      <bottom style="dashed">
        <color theme="1" tint="0.499984740745262"/>
      </bottom>
      <diagonal/>
    </border>
    <border>
      <left style="thin">
        <color indexed="64"/>
      </left>
      <right style="dashed">
        <color theme="1" tint="0.499984740745262"/>
      </right>
      <top style="dashed">
        <color theme="1" tint="0.499984740745262"/>
      </top>
      <bottom style="dashed">
        <color theme="1" tint="0.499984740745262"/>
      </bottom>
      <diagonal/>
    </border>
    <border>
      <left style="dashed">
        <color theme="1" tint="0.499984740745262"/>
      </left>
      <right/>
      <top style="dashed">
        <color theme="1" tint="0.499984740745262"/>
      </top>
      <bottom style="dashed">
        <color theme="1" tint="0.499984740745262"/>
      </bottom>
      <diagonal/>
    </border>
    <border>
      <left style="thin">
        <color indexed="64"/>
      </left>
      <right style="dashed">
        <color theme="1" tint="0.499984740745262"/>
      </right>
      <top/>
      <bottom/>
      <diagonal/>
    </border>
    <border>
      <left style="thin">
        <color indexed="64"/>
      </left>
      <right/>
      <top style="thin">
        <color indexed="64"/>
      </top>
      <bottom style="dashed">
        <color theme="1" tint="0.499984740745262"/>
      </bottom>
      <diagonal/>
    </border>
    <border>
      <left/>
      <right/>
      <top style="thin">
        <color indexed="64"/>
      </top>
      <bottom style="dashed">
        <color theme="1" tint="0.499984740745262"/>
      </bottom>
      <diagonal/>
    </border>
    <border>
      <left/>
      <right style="thin">
        <color indexed="64"/>
      </right>
      <top style="thin">
        <color indexed="64"/>
      </top>
      <bottom style="dashed">
        <color theme="1" tint="0.499984740745262"/>
      </bottom>
      <diagonal/>
    </border>
    <border>
      <left/>
      <right style="dashed">
        <color theme="1" tint="0.499984740745262"/>
      </right>
      <top style="thin">
        <color indexed="64"/>
      </top>
      <bottom style="dashed">
        <color theme="1" tint="0.499984740745262"/>
      </bottom>
      <diagonal/>
    </border>
    <border>
      <left/>
      <right style="dashed">
        <color theme="1" tint="0.499984740745262"/>
      </right>
      <top style="dashed">
        <color theme="1" tint="0.499984740745262"/>
      </top>
      <bottom style="dashed">
        <color theme="1" tint="0.499984740745262"/>
      </bottom>
      <diagonal/>
    </border>
    <border>
      <left style="dashed">
        <color theme="1" tint="0.499984740745262"/>
      </left>
      <right/>
      <top/>
      <bottom/>
      <diagonal/>
    </border>
    <border>
      <left/>
      <right style="dashed">
        <color theme="1" tint="0.499984740745262"/>
      </right>
      <top style="thin">
        <color theme="1"/>
      </top>
      <bottom/>
      <diagonal/>
    </border>
    <border>
      <left/>
      <right style="dashed">
        <color theme="1" tint="0.499984740745262"/>
      </right>
      <top/>
      <bottom/>
      <diagonal/>
    </border>
    <border>
      <left/>
      <right style="dashed">
        <color theme="1" tint="0.499984740745262"/>
      </right>
      <top/>
      <bottom style="thin">
        <color indexed="64"/>
      </bottom>
      <diagonal/>
    </border>
    <border>
      <left/>
      <right/>
      <top style="dashed">
        <color theme="1" tint="0.499984740745262"/>
      </top>
      <bottom/>
      <diagonal/>
    </border>
    <border>
      <left/>
      <right style="dashed">
        <color theme="1" tint="0.499984740745262"/>
      </right>
      <top style="dashed">
        <color theme="1" tint="0.499984740745262"/>
      </top>
      <bottom/>
      <diagonal/>
    </border>
    <border>
      <left style="dashed">
        <color theme="1" tint="0.499984740745262"/>
      </left>
      <right/>
      <top/>
      <bottom style="dashed">
        <color theme="1" tint="0.499984740745262"/>
      </bottom>
      <diagonal/>
    </border>
    <border>
      <left/>
      <right style="dashed">
        <color theme="1" tint="0.499984740745262"/>
      </right>
      <top/>
      <bottom style="dashed">
        <color theme="1" tint="0.499984740745262"/>
      </bottom>
      <diagonal/>
    </border>
    <border>
      <left style="dashed">
        <color theme="1" tint="0.499984740745262"/>
      </left>
      <right/>
      <top style="thin">
        <color theme="1"/>
      </top>
      <bottom/>
      <diagonal/>
    </border>
    <border>
      <left/>
      <right style="dashed">
        <color theme="1" tint="0.499984740745262"/>
      </right>
      <top/>
      <bottom style="thin">
        <color theme="1"/>
      </bottom>
      <diagonal/>
    </border>
    <border>
      <left/>
      <right style="thin">
        <color indexed="64"/>
      </right>
      <top/>
      <bottom style="dashed">
        <color theme="1" tint="0.499984740745262"/>
      </bottom>
      <diagonal/>
    </border>
    <border>
      <left style="thin">
        <color indexed="64"/>
      </left>
      <right/>
      <top style="dashed">
        <color theme="1" tint="0.499984740745262"/>
      </top>
      <bottom/>
      <diagonal/>
    </border>
    <border>
      <left/>
      <right style="thin">
        <color theme="1"/>
      </right>
      <top style="thin">
        <color theme="1"/>
      </top>
      <bottom style="dashed">
        <color theme="1" tint="0.499984740745262"/>
      </bottom>
      <diagonal/>
    </border>
    <border>
      <left/>
      <right style="dashed">
        <color theme="1" tint="0.499984740745262"/>
      </right>
      <top style="thin">
        <color theme="1"/>
      </top>
      <bottom style="dashed">
        <color theme="1" tint="0.499984740745262"/>
      </bottom>
      <diagonal/>
    </border>
    <border>
      <left/>
      <right style="thin">
        <color theme="1"/>
      </right>
      <top style="dashed">
        <color theme="1" tint="0.499984740745262"/>
      </top>
      <bottom style="dashed">
        <color theme="1" tint="0.499984740745262"/>
      </bottom>
      <diagonal/>
    </border>
    <border>
      <left style="thin">
        <color indexed="64"/>
      </left>
      <right style="thin">
        <color indexed="64"/>
      </right>
      <top/>
      <bottom style="thin">
        <color theme="1"/>
      </bottom>
      <diagonal/>
    </border>
    <border>
      <left style="thin">
        <color indexed="64"/>
      </left>
      <right style="thin">
        <color theme="1"/>
      </right>
      <top/>
      <bottom style="thin">
        <color theme="1"/>
      </bottom>
      <diagonal/>
    </border>
    <border>
      <left style="thin">
        <color indexed="64"/>
      </left>
      <right/>
      <top style="thin">
        <color theme="1"/>
      </top>
      <bottom style="thin">
        <color theme="1"/>
      </bottom>
      <diagonal/>
    </border>
    <border>
      <left style="thin">
        <color theme="1"/>
      </left>
      <right/>
      <top style="dashed">
        <color theme="1" tint="0.499984740745262"/>
      </top>
      <bottom style="dashed">
        <color theme="1" tint="0.499984740745262"/>
      </bottom>
      <diagonal/>
    </border>
    <border>
      <left/>
      <right/>
      <top style="double">
        <color indexed="64"/>
      </top>
      <bottom style="double">
        <color indexed="64"/>
      </bottom>
      <diagonal/>
    </border>
    <border>
      <left/>
      <right style="thin">
        <color indexed="64"/>
      </right>
      <top style="thin">
        <color theme="1"/>
      </top>
      <bottom style="thin">
        <color theme="1"/>
      </bottom>
      <diagonal/>
    </border>
    <border>
      <left/>
      <right style="thin">
        <color indexed="64"/>
      </right>
      <top style="thin">
        <color theme="1"/>
      </top>
      <bottom style="thin">
        <color indexed="64"/>
      </bottom>
      <diagonal/>
    </border>
    <border>
      <left style="dashed">
        <color theme="1" tint="0.499984740745262"/>
      </left>
      <right/>
      <top style="thin">
        <color indexed="64"/>
      </top>
      <bottom style="dashed">
        <color theme="1" tint="0.499984740745262"/>
      </bottom>
      <diagonal/>
    </border>
    <border>
      <left style="thin">
        <color indexed="64"/>
      </left>
      <right style="thin">
        <color indexed="64"/>
      </right>
      <top style="dashed">
        <color theme="1" tint="0.249977111117893"/>
      </top>
      <bottom style="dashed">
        <color theme="1" tint="0.249977111117893"/>
      </bottom>
      <diagonal/>
    </border>
    <border>
      <left style="thin">
        <color indexed="64"/>
      </left>
      <right/>
      <top style="dashed">
        <color theme="1" tint="0.249977111117893"/>
      </top>
      <bottom style="dashed">
        <color theme="1" tint="0.249977111117893"/>
      </bottom>
      <diagonal/>
    </border>
    <border>
      <left/>
      <right style="thin">
        <color indexed="64"/>
      </right>
      <top style="dashed">
        <color theme="1" tint="0.249977111117893"/>
      </top>
      <bottom style="dashed">
        <color theme="1" tint="0.249977111117893"/>
      </bottom>
      <diagonal/>
    </border>
    <border>
      <left style="thin">
        <color theme="1"/>
      </left>
      <right style="thin">
        <color indexed="64"/>
      </right>
      <top style="dashed">
        <color theme="1" tint="0.249977111117893"/>
      </top>
      <bottom style="dashed">
        <color theme="1" tint="0.249977111117893"/>
      </bottom>
      <diagonal/>
    </border>
    <border>
      <left/>
      <right/>
      <top style="dashed">
        <color theme="1" tint="0.249977111117893"/>
      </top>
      <bottom style="dashed">
        <color theme="1" tint="0.249977111117893"/>
      </bottom>
      <diagonal/>
    </border>
    <border>
      <left/>
      <right style="thin">
        <color indexed="64"/>
      </right>
      <top/>
      <bottom style="dashed">
        <color theme="1" tint="0.249977111117893"/>
      </bottom>
      <diagonal/>
    </border>
    <border>
      <left/>
      <right/>
      <top style="thin">
        <color theme="1"/>
      </top>
      <bottom style="dashed">
        <color theme="1" tint="0.249977111117893"/>
      </bottom>
      <diagonal/>
    </border>
    <border>
      <left/>
      <right style="thin">
        <color indexed="64"/>
      </right>
      <top style="thin">
        <color theme="1"/>
      </top>
      <bottom style="dashed">
        <color theme="1" tint="0.249977111117893"/>
      </bottom>
      <diagonal/>
    </border>
    <border>
      <left style="thin">
        <color indexed="64"/>
      </left>
      <right style="thin">
        <color indexed="64"/>
      </right>
      <top style="thin">
        <color theme="1"/>
      </top>
      <bottom style="dashed">
        <color theme="1" tint="0.249977111117893"/>
      </bottom>
      <diagonal/>
    </border>
    <border>
      <left style="thin">
        <color indexed="64"/>
      </left>
      <right style="thin">
        <color theme="1"/>
      </right>
      <top style="thin">
        <color theme="1"/>
      </top>
      <bottom style="dashed">
        <color theme="1" tint="0.249977111117893"/>
      </bottom>
      <diagonal/>
    </border>
    <border>
      <left style="thin">
        <color indexed="64"/>
      </left>
      <right style="thin">
        <color theme="1"/>
      </right>
      <top style="dashed">
        <color theme="1" tint="0.249977111117893"/>
      </top>
      <bottom style="dashed">
        <color theme="1" tint="0.249977111117893"/>
      </bottom>
      <diagonal/>
    </border>
    <border>
      <left/>
      <right style="thin">
        <color theme="1"/>
      </right>
      <top style="thin">
        <color theme="1"/>
      </top>
      <bottom style="dashed">
        <color theme="1" tint="0.249977111117893"/>
      </bottom>
      <diagonal/>
    </border>
    <border>
      <left/>
      <right style="thin">
        <color theme="1"/>
      </right>
      <top style="dashed">
        <color theme="1" tint="0.249977111117893"/>
      </top>
      <bottom style="dashed">
        <color theme="1" tint="0.249977111117893"/>
      </bottom>
      <diagonal/>
    </border>
    <border>
      <left style="thin">
        <color indexed="64"/>
      </left>
      <right style="thin">
        <color theme="1"/>
      </right>
      <top/>
      <bottom style="dashed">
        <color theme="1" tint="0.249977111117893"/>
      </bottom>
      <diagonal/>
    </border>
    <border>
      <left/>
      <right/>
      <top style="dashed">
        <color theme="1" tint="0.249977111117893"/>
      </top>
      <bottom style="thin">
        <color theme="1"/>
      </bottom>
      <diagonal/>
    </border>
    <border>
      <left/>
      <right style="thin">
        <color theme="1"/>
      </right>
      <top style="dashed">
        <color theme="1" tint="0.249977111117893"/>
      </top>
      <bottom style="thin">
        <color theme="1"/>
      </bottom>
      <diagonal/>
    </border>
    <border>
      <left/>
      <right style="thin">
        <color indexed="64"/>
      </right>
      <top style="dashed">
        <color theme="1" tint="0.249977111117893"/>
      </top>
      <bottom style="thin">
        <color theme="1"/>
      </bottom>
      <diagonal/>
    </border>
    <border>
      <left style="thin">
        <color indexed="64"/>
      </left>
      <right style="thin">
        <color theme="1"/>
      </right>
      <top style="dashed">
        <color theme="1" tint="0.249977111117893"/>
      </top>
      <bottom style="thin">
        <color theme="1"/>
      </bottom>
      <diagonal/>
    </border>
    <border>
      <left style="thin">
        <color indexed="64"/>
      </left>
      <right/>
      <top style="thin">
        <color theme="1"/>
      </top>
      <bottom style="dashed">
        <color theme="1" tint="0.249977111117893"/>
      </bottom>
      <diagonal/>
    </border>
    <border>
      <left style="thin">
        <color indexed="64"/>
      </left>
      <right/>
      <top style="dashed">
        <color theme="1" tint="0.249977111117893"/>
      </top>
      <bottom style="thin">
        <color theme="1"/>
      </bottom>
      <diagonal/>
    </border>
    <border>
      <left style="thin">
        <color indexed="64"/>
      </left>
      <right/>
      <top style="dashed">
        <color theme="1" tint="0.249977111117893"/>
      </top>
      <bottom style="thin">
        <color indexed="64"/>
      </bottom>
      <diagonal/>
    </border>
    <border>
      <left/>
      <right style="thin">
        <color indexed="64"/>
      </right>
      <top style="dashed">
        <color theme="1" tint="0.249977111117893"/>
      </top>
      <bottom style="thin">
        <color indexed="64"/>
      </bottom>
      <diagonal/>
    </border>
    <border>
      <left style="thin">
        <color theme="1"/>
      </left>
      <right/>
      <top/>
      <bottom style="thin">
        <color theme="1" tint="0.499984740745262"/>
      </bottom>
      <diagonal/>
    </border>
    <border>
      <left/>
      <right style="dashed">
        <color theme="0" tint="-0.499984740745262"/>
      </right>
      <top style="dashed">
        <color theme="1" tint="0.499984740745262"/>
      </top>
      <bottom style="thin">
        <color theme="1"/>
      </bottom>
      <diagonal/>
    </border>
    <border>
      <left/>
      <right/>
      <top style="dashed">
        <color theme="1" tint="0.499984740745262"/>
      </top>
      <bottom style="thin">
        <color theme="1"/>
      </bottom>
      <diagonal/>
    </border>
    <border>
      <left style="dashed">
        <color theme="0" tint="-0.499984740745262"/>
      </left>
      <right style="dashed">
        <color theme="0" tint="-0.499984740745262"/>
      </right>
      <top style="dashed">
        <color theme="1" tint="0.499984740745262"/>
      </top>
      <bottom style="thin">
        <color theme="1"/>
      </bottom>
      <diagonal/>
    </border>
    <border>
      <left style="thin">
        <color indexed="64"/>
      </left>
      <right/>
      <top style="dashed">
        <color theme="1" tint="0.499984740745262"/>
      </top>
      <bottom style="thin">
        <color theme="1"/>
      </bottom>
      <diagonal/>
    </border>
    <border>
      <left/>
      <right/>
      <top style="double">
        <color theme="1"/>
      </top>
      <bottom style="double">
        <color theme="1"/>
      </bottom>
      <diagonal/>
    </border>
    <border>
      <left/>
      <right/>
      <top style="double">
        <color theme="1"/>
      </top>
      <bottom style="thin">
        <color theme="1" tint="0.499984740745262"/>
      </bottom>
      <diagonal/>
    </border>
    <border>
      <left style="thin">
        <color indexed="64"/>
      </left>
      <right style="thin">
        <color indexed="64"/>
      </right>
      <top/>
      <bottom style="dashed">
        <color theme="1" tint="0.249977111117893"/>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right/>
      <top style="thin">
        <color theme="1"/>
      </top>
      <bottom style="hair">
        <color indexed="64"/>
      </bottom>
      <diagonal/>
    </border>
    <border>
      <left/>
      <right style="thin">
        <color indexed="64"/>
      </right>
      <top style="thin">
        <color theme="1"/>
      </top>
      <bottom style="hair">
        <color indexed="64"/>
      </bottom>
      <diagonal/>
    </border>
    <border>
      <left style="thin">
        <color theme="1"/>
      </left>
      <right style="thin">
        <color indexed="64"/>
      </right>
      <top style="thin">
        <color theme="1"/>
      </top>
      <bottom style="thin">
        <color theme="1"/>
      </bottom>
      <diagonal/>
    </border>
    <border>
      <left style="thin">
        <color indexed="64"/>
      </left>
      <right style="thin">
        <color indexed="64"/>
      </right>
      <top style="dotted">
        <color theme="1" tint="0.499984740745262"/>
      </top>
      <bottom style="dotted">
        <color theme="1" tint="0.499984740745262"/>
      </bottom>
      <diagonal/>
    </border>
    <border>
      <left style="thin">
        <color indexed="64"/>
      </left>
      <right/>
      <top style="dotted">
        <color theme="1" tint="0.499984740745262"/>
      </top>
      <bottom style="dotted">
        <color theme="1" tint="0.499984740745262"/>
      </bottom>
      <diagonal/>
    </border>
    <border>
      <left/>
      <right style="thin">
        <color indexed="64"/>
      </right>
      <top style="dotted">
        <color theme="1" tint="0.499984740745262"/>
      </top>
      <bottom style="dotted">
        <color theme="1" tint="0.499984740745262"/>
      </bottom>
      <diagonal/>
    </border>
    <border>
      <left style="thin">
        <color indexed="64"/>
      </left>
      <right style="thin">
        <color indexed="64"/>
      </right>
      <top style="thin">
        <color theme="1"/>
      </top>
      <bottom/>
      <diagonal/>
    </border>
    <border>
      <left style="thin">
        <color theme="1"/>
      </left>
      <right style="thin">
        <color indexed="64"/>
      </right>
      <top style="dotted">
        <color theme="1" tint="0.499984740745262"/>
      </top>
      <bottom style="dotted">
        <color theme="1" tint="0.499984740745262"/>
      </bottom>
      <diagonal/>
    </border>
    <border>
      <left style="thin">
        <color indexed="64"/>
      </left>
      <right/>
      <top/>
      <bottom style="dashed">
        <color theme="1" tint="0.249977111117893"/>
      </bottom>
      <diagonal/>
    </border>
    <border>
      <left/>
      <right style="thin">
        <color theme="1"/>
      </right>
      <top style="dotted">
        <color theme="1" tint="0.499984740745262"/>
      </top>
      <bottom style="dotted">
        <color theme="1" tint="0.499984740745262"/>
      </bottom>
      <diagonal/>
    </border>
    <border>
      <left style="thin">
        <color indexed="64"/>
      </left>
      <right style="thin">
        <color indexed="64"/>
      </right>
      <top/>
      <bottom style="dotted">
        <color theme="1" tint="0.499984740745262"/>
      </bottom>
      <diagonal/>
    </border>
    <border>
      <left style="thin">
        <color indexed="64"/>
      </left>
      <right style="thin">
        <color indexed="64"/>
      </right>
      <top style="dotted">
        <color theme="1" tint="0.499984740745262"/>
      </top>
      <bottom style="dashed">
        <color theme="1" tint="0.499984740745262"/>
      </bottom>
      <diagonal/>
    </border>
    <border>
      <left style="thin">
        <color indexed="64"/>
      </left>
      <right/>
      <top style="dotted">
        <color theme="1" tint="0.499984740745262"/>
      </top>
      <bottom style="dashed">
        <color theme="1" tint="0.499984740745262"/>
      </bottom>
      <diagonal/>
    </border>
    <border>
      <left/>
      <right/>
      <top style="dotted">
        <color theme="1" tint="0.499984740745262"/>
      </top>
      <bottom style="dashed">
        <color theme="1" tint="0.499984740745262"/>
      </bottom>
      <diagonal/>
    </border>
    <border>
      <left/>
      <right style="thin">
        <color theme="1"/>
      </right>
      <top style="dotted">
        <color theme="1" tint="0.499984740745262"/>
      </top>
      <bottom style="dashed">
        <color theme="1" tint="0.499984740745262"/>
      </bottom>
      <diagonal/>
    </border>
    <border>
      <left/>
      <right style="thin">
        <color indexed="64"/>
      </right>
      <top style="dotted">
        <color theme="1" tint="0.499984740745262"/>
      </top>
      <bottom style="dashed">
        <color theme="1" tint="0.499984740745262"/>
      </bottom>
      <diagonal/>
    </border>
    <border>
      <left/>
      <right/>
      <top/>
      <bottom style="thin">
        <color auto="1"/>
      </bottom>
      <diagonal/>
    </border>
    <border>
      <left style="dashed">
        <color theme="1" tint="0.499984740745262"/>
      </left>
      <right style="dashed">
        <color theme="1" tint="0.499984740745262"/>
      </right>
      <top style="dashed">
        <color theme="1" tint="0.499984740745262"/>
      </top>
      <bottom style="dashed">
        <color theme="1" tint="0.499984740745262"/>
      </bottom>
      <diagonal/>
    </border>
    <border>
      <left style="thin">
        <color indexed="64"/>
      </left>
      <right/>
      <top style="dashed">
        <color theme="0" tint="-0.14996795556505021"/>
      </top>
      <bottom style="dashed">
        <color theme="0" tint="-0.14996795556505021"/>
      </bottom>
      <diagonal/>
    </border>
    <border>
      <left/>
      <right/>
      <top style="dashed">
        <color theme="0" tint="-0.14996795556505021"/>
      </top>
      <bottom style="dashed">
        <color theme="0" tint="-0.14996795556505021"/>
      </bottom>
      <diagonal/>
    </border>
    <border>
      <left/>
      <right style="thin">
        <color indexed="64"/>
      </right>
      <top style="dashed">
        <color theme="0" tint="-0.14996795556505021"/>
      </top>
      <bottom style="dashed">
        <color theme="0" tint="-0.14996795556505021"/>
      </bottom>
      <diagonal/>
    </border>
    <border>
      <left style="thin">
        <color indexed="64"/>
      </left>
      <right style="thin">
        <color indexed="64"/>
      </right>
      <top style="dashed">
        <color theme="0" tint="-0.14996795556505021"/>
      </top>
      <bottom style="dashed">
        <color theme="0" tint="-0.14996795556505021"/>
      </bottom>
      <diagonal/>
    </border>
    <border>
      <left style="thin">
        <color indexed="64"/>
      </left>
      <right/>
      <top style="dashed">
        <color theme="0" tint="-0.14996795556505021"/>
      </top>
      <bottom/>
      <diagonal/>
    </border>
    <border>
      <left/>
      <right/>
      <top style="dashed">
        <color theme="0" tint="-0.14996795556505021"/>
      </top>
      <bottom/>
      <diagonal/>
    </border>
    <border>
      <left style="thin">
        <color indexed="64"/>
      </left>
      <right/>
      <top/>
      <bottom style="dashed">
        <color theme="0" tint="-0.14996795556505021"/>
      </bottom>
      <diagonal/>
    </border>
    <border>
      <left/>
      <right/>
      <top/>
      <bottom style="dashed">
        <color theme="0" tint="-0.14996795556505021"/>
      </bottom>
      <diagonal/>
    </border>
    <border>
      <left/>
      <right/>
      <top style="thin">
        <color auto="1"/>
      </top>
      <bottom/>
      <diagonal/>
    </border>
    <border>
      <left/>
      <right style="thin">
        <color indexed="64"/>
      </right>
      <top style="thin">
        <color auto="1"/>
      </top>
      <bottom/>
      <diagonal/>
    </border>
    <border>
      <left style="thin">
        <color indexed="64"/>
      </left>
      <right/>
      <top style="thin">
        <color auto="1"/>
      </top>
      <bottom/>
      <diagonal/>
    </border>
    <border>
      <left/>
      <right/>
      <top style="double">
        <color theme="1"/>
      </top>
      <bottom/>
      <diagonal/>
    </border>
  </borders>
  <cellStyleXfs count="546">
    <xf numFmtId="0" fontId="0" fillId="0" borderId="0"/>
    <xf numFmtId="0" fontId="1" fillId="0" borderId="0"/>
    <xf numFmtId="9" fontId="1" fillId="0" borderId="0" applyFont="0" applyFill="0" applyBorder="0" applyAlignment="0" applyProtection="0"/>
    <xf numFmtId="169" fontId="1" fillId="0" borderId="0" applyFont="0" applyFill="0" applyBorder="0" applyAlignment="0" applyProtection="0"/>
    <xf numFmtId="170" fontId="17" fillId="0" borderId="0">
      <protection locked="0"/>
    </xf>
    <xf numFmtId="170" fontId="17" fillId="0" borderId="0">
      <protection locked="0"/>
    </xf>
    <xf numFmtId="170" fontId="17" fillId="0" borderId="0">
      <protection locked="0"/>
    </xf>
    <xf numFmtId="171" fontId="1" fillId="0" borderId="0" applyFont="0" applyFill="0" applyBorder="0" applyAlignment="0" applyProtection="0"/>
    <xf numFmtId="170" fontId="17" fillId="0" borderId="0">
      <protection locked="0"/>
    </xf>
    <xf numFmtId="170" fontId="17" fillId="0" borderId="0">
      <protection locked="0"/>
    </xf>
    <xf numFmtId="170" fontId="18" fillId="0" borderId="0">
      <protection locked="0"/>
    </xf>
    <xf numFmtId="170" fontId="17" fillId="0" borderId="0">
      <protection locked="0"/>
    </xf>
    <xf numFmtId="170" fontId="17" fillId="0" borderId="0">
      <protection locked="0"/>
    </xf>
    <xf numFmtId="170" fontId="17" fillId="0" borderId="0">
      <protection locked="0"/>
    </xf>
    <xf numFmtId="170" fontId="18" fillId="0" borderId="0">
      <protection locked="0"/>
    </xf>
    <xf numFmtId="170" fontId="17" fillId="0" borderId="0">
      <protection locked="0"/>
    </xf>
    <xf numFmtId="170" fontId="19" fillId="0" borderId="0">
      <protection locked="0"/>
    </xf>
    <xf numFmtId="170" fontId="19" fillId="0" borderId="0">
      <protection locked="0"/>
    </xf>
    <xf numFmtId="170" fontId="17" fillId="0" borderId="0">
      <protection locked="0"/>
    </xf>
    <xf numFmtId="9" fontId="1" fillId="0" borderId="0" applyFont="0" applyFill="0" applyBorder="0" applyAlignment="0" applyProtection="0"/>
    <xf numFmtId="0" fontId="21" fillId="0" borderId="0"/>
    <xf numFmtId="0" fontId="1" fillId="0" borderId="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4" fillId="5" borderId="0" applyNumberFormat="0" applyBorder="0" applyAlignment="0" applyProtection="0"/>
    <xf numFmtId="0" fontId="25" fillId="17" borderId="20" applyNumberFormat="0" applyAlignment="0" applyProtection="0"/>
    <xf numFmtId="0" fontId="26" fillId="18" borderId="21" applyNumberFormat="0" applyAlignment="0" applyProtection="0"/>
    <xf numFmtId="0" fontId="27" fillId="0" borderId="22" applyNumberFormat="0" applyFill="0" applyAlignment="0" applyProtection="0"/>
    <xf numFmtId="0" fontId="28" fillId="0" borderId="0" applyNumberFormat="0" applyFill="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22" borderId="0" applyNumberFormat="0" applyBorder="0" applyAlignment="0" applyProtection="0"/>
    <xf numFmtId="0" fontId="29" fillId="8" borderId="20" applyNumberFormat="0" applyAlignment="0" applyProtection="0"/>
    <xf numFmtId="171" fontId="1" fillId="0" borderId="0" applyFont="0" applyFill="0" applyBorder="0" applyAlignment="0" applyProtection="0"/>
    <xf numFmtId="0" fontId="30" fillId="4" borderId="0" applyNumberFormat="0" applyBorder="0" applyAlignment="0" applyProtection="0"/>
    <xf numFmtId="0" fontId="31" fillId="23" borderId="0" applyNumberFormat="0" applyBorder="0" applyAlignment="0" applyProtection="0"/>
    <xf numFmtId="0" fontId="1" fillId="24" borderId="23" applyNumberFormat="0" applyFont="0" applyAlignment="0" applyProtection="0"/>
    <xf numFmtId="9" fontId="1" fillId="0" borderId="0" applyFont="0" applyFill="0" applyBorder="0" applyAlignment="0" applyProtection="0"/>
    <xf numFmtId="0" fontId="32" fillId="17" borderId="24"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25" applyNumberFormat="0" applyFill="0" applyAlignment="0" applyProtection="0"/>
    <xf numFmtId="0" fontId="37" fillId="0" borderId="26" applyNumberFormat="0" applyFill="0" applyAlignment="0" applyProtection="0"/>
    <xf numFmtId="0" fontId="28" fillId="0" borderId="27" applyNumberFormat="0" applyFill="0" applyAlignment="0" applyProtection="0"/>
    <xf numFmtId="0" fontId="38" fillId="0" borderId="28" applyNumberFormat="0" applyFill="0" applyAlignment="0" applyProtection="0"/>
    <xf numFmtId="171" fontId="1" fillId="0" borderId="0" applyFont="0" applyFill="0" applyBorder="0" applyAlignment="0" applyProtection="0"/>
    <xf numFmtId="0" fontId="1" fillId="24" borderId="23" applyNumberFormat="0" applyFont="0" applyAlignment="0" applyProtection="0"/>
    <xf numFmtId="9" fontId="1" fillId="0" borderId="0" applyFont="0" applyFill="0" applyBorder="0" applyAlignment="0" applyProtection="0"/>
    <xf numFmtId="0" fontId="1" fillId="0" borderId="0"/>
    <xf numFmtId="0" fontId="46" fillId="0" borderId="0"/>
    <xf numFmtId="0" fontId="48" fillId="0" borderId="0"/>
    <xf numFmtId="0" fontId="1" fillId="0" borderId="0"/>
    <xf numFmtId="0" fontId="50" fillId="0" borderId="0"/>
    <xf numFmtId="0" fontId="53" fillId="0" borderId="0"/>
    <xf numFmtId="0" fontId="1" fillId="0" borderId="0"/>
    <xf numFmtId="0" fontId="59"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 fillId="0" borderId="0"/>
    <xf numFmtId="0" fontId="53" fillId="0" borderId="0"/>
    <xf numFmtId="0" fontId="1" fillId="0" borderId="0"/>
    <xf numFmtId="0" fontId="1" fillId="0" borderId="0"/>
    <xf numFmtId="0" fontId="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6" fillId="0" borderId="0"/>
    <xf numFmtId="0" fontId="63" fillId="0" borderId="0"/>
    <xf numFmtId="0" fontId="46" fillId="0" borderId="0"/>
    <xf numFmtId="0" fontId="1" fillId="0" borderId="0"/>
    <xf numFmtId="0" fontId="1" fillId="0" borderId="0"/>
    <xf numFmtId="0" fontId="1" fillId="0" borderId="0"/>
    <xf numFmtId="0" fontId="1" fillId="0" borderId="0"/>
    <xf numFmtId="0" fontId="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9" fontId="1"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65" fillId="0" borderId="0"/>
    <xf numFmtId="174" fontId="1" fillId="0" borderId="61">
      <alignment horizontal="right"/>
    </xf>
    <xf numFmtId="2" fontId="2" fillId="0" borderId="0"/>
    <xf numFmtId="173" fontId="2" fillId="0" borderId="0"/>
    <xf numFmtId="175" fontId="43" fillId="0" borderId="0"/>
    <xf numFmtId="176" fontId="1" fillId="0" borderId="61">
      <alignment horizontal="right"/>
    </xf>
    <xf numFmtId="3" fontId="70" fillId="0" borderId="0" applyFont="0" applyFill="0" applyBorder="0" applyAlignment="0" applyProtection="0"/>
    <xf numFmtId="0" fontId="71" fillId="0" borderId="0"/>
    <xf numFmtId="0" fontId="71" fillId="0" borderId="0"/>
    <xf numFmtId="0" fontId="71" fillId="0" borderId="0"/>
    <xf numFmtId="0" fontId="71" fillId="0" borderId="0"/>
    <xf numFmtId="164" fontId="1" fillId="0" borderId="0" applyFont="0" applyFill="0" applyBorder="0" applyAlignment="0" applyProtection="0"/>
    <xf numFmtId="0" fontId="71"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7" fontId="1" fillId="0" borderId="0" applyFon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60"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178" fontId="1" fillId="0" borderId="0">
      <alignment horizontal="right"/>
    </xf>
    <xf numFmtId="179" fontId="1" fillId="0" borderId="0" applyFont="0" applyFill="0" applyBorder="0" applyAlignment="0">
      <alignment horizontal="center"/>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66" fontId="1" fillId="0" borderId="0" applyFont="0" applyFill="0" applyBorder="0" applyAlignment="0" applyProtection="0"/>
    <xf numFmtId="169" fontId="1" fillId="0" borderId="0" applyFont="0" applyFill="0" applyBorder="0" applyAlignment="0" applyProtection="0"/>
    <xf numFmtId="166" fontId="1" fillId="0" borderId="0" applyFont="0" applyFill="0" applyBorder="0" applyAlignment="0" applyProtection="0"/>
    <xf numFmtId="180" fontId="1" fillId="0" borderId="0" applyFont="0" applyFill="0" applyBorder="0" applyAlignment="0" applyProtection="0"/>
    <xf numFmtId="43"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0" fontId="1" fillId="0" borderId="0" applyFont="0" applyFill="0" applyBorder="0" applyAlignment="0" applyProtection="0"/>
    <xf numFmtId="181" fontId="1" fillId="0" borderId="0">
      <alignment horizontal="right"/>
    </xf>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7" fontId="1" fillId="0" borderId="0" applyFont="0" applyFill="0" applyBorder="0" applyAlignment="0" applyProtection="0"/>
    <xf numFmtId="182"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83" fontId="74" fillId="0" borderId="0" applyFont="0" applyFill="0" applyBorder="0" applyAlignment="0" applyProtection="0"/>
    <xf numFmtId="184" fontId="75" fillId="0" borderId="0"/>
    <xf numFmtId="185" fontId="1" fillId="0" borderId="0" applyFont="0" applyFill="0" applyBorder="0" applyAlignment="0">
      <alignment horizontal="center"/>
    </xf>
    <xf numFmtId="0" fontId="1" fillId="0" borderId="0"/>
    <xf numFmtId="0" fontId="1" fillId="0" borderId="0" applyProtection="0"/>
    <xf numFmtId="0" fontId="65"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76" fillId="0" borderId="0"/>
    <xf numFmtId="0" fontId="1" fillId="0" borderId="0"/>
    <xf numFmtId="0" fontId="1" fillId="0" borderId="0"/>
    <xf numFmtId="0" fontId="1" fillId="0" borderId="0"/>
    <xf numFmtId="0" fontId="1" fillId="0" borderId="0"/>
    <xf numFmtId="0" fontId="53" fillId="0" borderId="0"/>
    <xf numFmtId="0" fontId="53" fillId="0" borderId="0"/>
    <xf numFmtId="0" fontId="71" fillId="0" borderId="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58" fillId="0" borderId="0">
      <alignment vertical="top"/>
    </xf>
    <xf numFmtId="0" fontId="1" fillId="0" borderId="0"/>
    <xf numFmtId="0" fontId="22" fillId="3"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24" fillId="5" borderId="0" applyNumberFormat="0" applyBorder="0" applyAlignment="0" applyProtection="0"/>
    <xf numFmtId="0" fontId="25" fillId="17" borderId="20" applyNumberFormat="0" applyAlignment="0" applyProtection="0"/>
    <xf numFmtId="0" fontId="25" fillId="17" borderId="20" applyNumberFormat="0" applyAlignment="0" applyProtection="0"/>
    <xf numFmtId="0" fontId="25" fillId="17" borderId="20" applyNumberFormat="0" applyAlignment="0" applyProtection="0"/>
    <xf numFmtId="0" fontId="26" fillId="18" borderId="21" applyNumberFormat="0" applyAlignment="0" applyProtection="0"/>
    <xf numFmtId="0" fontId="27" fillId="0" borderId="22" applyNumberFormat="0" applyFill="0" applyAlignment="0" applyProtection="0"/>
    <xf numFmtId="0" fontId="26" fillId="18" borderId="21" applyNumberFormat="0" applyAlignment="0" applyProtection="0"/>
    <xf numFmtId="0" fontId="26" fillId="18" borderId="21" applyNumberFormat="0" applyAlignment="0" applyProtection="0"/>
    <xf numFmtId="165" fontId="46" fillId="0" borderId="0" applyFont="0" applyFill="0" applyBorder="0" applyAlignment="0" applyProtection="0"/>
    <xf numFmtId="187" fontId="46" fillId="0" borderId="0" applyFont="0" applyFill="0" applyBorder="0" applyAlignment="0" applyProtection="0"/>
    <xf numFmtId="0" fontId="28" fillId="0" borderId="0" applyNumberFormat="0" applyFill="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22" borderId="0" applyNumberFormat="0" applyBorder="0" applyAlignment="0" applyProtection="0"/>
    <xf numFmtId="0" fontId="29" fillId="8" borderId="20" applyNumberFormat="0" applyAlignment="0" applyProtection="0"/>
    <xf numFmtId="0" fontId="92" fillId="7" borderId="27" applyFill="0" applyBorder="0" applyAlignment="0" applyProtection="0"/>
    <xf numFmtId="0" fontId="93" fillId="7" borderId="27" applyFont="0" applyFill="0" applyBorder="0" applyAlignment="0" applyProtection="0"/>
    <xf numFmtId="0" fontId="94" fillId="33" borderId="0"/>
    <xf numFmtId="0" fontId="34" fillId="0" borderId="0" applyNumberFormat="0" applyFill="0" applyBorder="0" applyAlignment="0" applyProtection="0"/>
    <xf numFmtId="0" fontId="34" fillId="0" borderId="0" applyNumberFormat="0" applyFill="0" applyBorder="0" applyAlignment="0" applyProtection="0"/>
    <xf numFmtId="0" fontId="24" fillId="5" borderId="0" applyNumberFormat="0" applyBorder="0" applyAlignment="0" applyProtection="0"/>
    <xf numFmtId="0" fontId="24" fillId="5" borderId="0" applyNumberFormat="0" applyBorder="0" applyAlignment="0" applyProtection="0"/>
    <xf numFmtId="0" fontId="95" fillId="0" borderId="0" applyNumberFormat="0" applyFill="0" applyBorder="0" applyAlignment="0" applyProtection="0"/>
    <xf numFmtId="0" fontId="36" fillId="0" borderId="25" applyNumberFormat="0" applyFill="0" applyAlignment="0" applyProtection="0"/>
    <xf numFmtId="0" fontId="96" fillId="0" borderId="0" applyNumberFormat="0" applyFill="0" applyBorder="0" applyAlignment="0" applyProtection="0"/>
    <xf numFmtId="0" fontId="37" fillId="0" borderId="26"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0" fillId="4" borderId="0" applyNumberFormat="0" applyBorder="0" applyAlignment="0" applyProtection="0"/>
    <xf numFmtId="0" fontId="29" fillId="8" borderId="20" applyNumberFormat="0" applyAlignment="0" applyProtection="0"/>
    <xf numFmtId="0" fontId="29" fillId="8" borderId="20" applyNumberFormat="0" applyAlignment="0" applyProtection="0"/>
    <xf numFmtId="0" fontId="27" fillId="0" borderId="22" applyNumberFormat="0" applyFill="0" applyAlignment="0" applyProtection="0"/>
    <xf numFmtId="0" fontId="27" fillId="0" borderId="22" applyNumberFormat="0" applyFill="0" applyAlignment="0" applyProtection="0"/>
    <xf numFmtId="0" fontId="31" fillId="23" borderId="0" applyNumberFormat="0" applyBorder="0" applyAlignment="0" applyProtection="0"/>
    <xf numFmtId="0" fontId="97" fillId="0" borderId="0"/>
    <xf numFmtId="0" fontId="1" fillId="0" borderId="0"/>
    <xf numFmtId="0" fontId="97" fillId="0" borderId="0"/>
    <xf numFmtId="0" fontId="53" fillId="0" borderId="0"/>
    <xf numFmtId="0" fontId="22" fillId="0" borderId="0"/>
    <xf numFmtId="0" fontId="22" fillId="0" borderId="0"/>
    <xf numFmtId="0" fontId="1" fillId="0" borderId="0"/>
    <xf numFmtId="0" fontId="53" fillId="0" borderId="0"/>
    <xf numFmtId="0" fontId="1" fillId="24" borderId="23" applyNumberFormat="0" applyFont="0" applyAlignment="0" applyProtection="0"/>
    <xf numFmtId="0" fontId="32" fillId="17" borderId="24" applyNumberFormat="0" applyAlignment="0" applyProtection="0"/>
    <xf numFmtId="0" fontId="32" fillId="17" borderId="24" applyNumberFormat="0" applyAlignment="0" applyProtection="0"/>
    <xf numFmtId="9" fontId="22" fillId="0" borderId="0" applyFont="0" applyFill="0" applyBorder="0" applyAlignment="0" applyProtection="0"/>
    <xf numFmtId="9" fontId="22" fillId="0" borderId="0" applyFont="0" applyFill="0" applyBorder="0" applyAlignment="0" applyProtection="0"/>
    <xf numFmtId="0" fontId="32" fillId="17" borderId="24"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0" borderId="25" applyNumberFormat="0" applyFill="0" applyAlignment="0" applyProtection="0"/>
    <xf numFmtId="0" fontId="37" fillId="0" borderId="26" applyNumberFormat="0" applyFill="0" applyAlignment="0" applyProtection="0"/>
    <xf numFmtId="0" fontId="28" fillId="0" borderId="27" applyNumberFormat="0" applyFill="0" applyAlignment="0" applyProtection="0"/>
    <xf numFmtId="0" fontId="3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 fillId="0" borderId="0"/>
    <xf numFmtId="0" fontId="97" fillId="0" borderId="0"/>
    <xf numFmtId="0" fontId="1" fillId="0" borderId="0"/>
    <xf numFmtId="0" fontId="97" fillId="0" borderId="0"/>
    <xf numFmtId="0" fontId="1" fillId="0" borderId="0"/>
    <xf numFmtId="9" fontId="53" fillId="0" borderId="0" applyFont="0" applyFill="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0" borderId="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3" fillId="0" borderId="0"/>
    <xf numFmtId="0" fontId="1" fillId="0" borderId="0"/>
    <xf numFmtId="0" fontId="53" fillId="0" borderId="0"/>
    <xf numFmtId="0" fontId="53" fillId="0" borderId="0"/>
    <xf numFmtId="0" fontId="53" fillId="0" borderId="0"/>
    <xf numFmtId="0" fontId="53" fillId="0" borderId="0"/>
    <xf numFmtId="0" fontId="53" fillId="0" borderId="0"/>
    <xf numFmtId="1" fontId="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1" fillId="0" borderId="0"/>
    <xf numFmtId="0" fontId="1" fillId="0" borderId="0"/>
  </cellStyleXfs>
  <cellXfs count="2279">
    <xf numFmtId="0" fontId="0" fillId="0" borderId="0" xfId="0"/>
    <xf numFmtId="0" fontId="1" fillId="0" borderId="0" xfId="72" applyFont="1" applyBorder="1" applyAlignment="1" applyProtection="1">
      <alignment vertical="center"/>
      <protection locked="0"/>
    </xf>
    <xf numFmtId="0" fontId="1" fillId="0" borderId="0" xfId="208" applyBorder="1" applyProtection="1"/>
    <xf numFmtId="0" fontId="83" fillId="0" borderId="56" xfId="429" applyFont="1" applyBorder="1" applyAlignment="1" applyProtection="1">
      <alignment horizontal="center" vertical="center"/>
      <protection locked="0"/>
    </xf>
    <xf numFmtId="168" fontId="4" fillId="26" borderId="0" xfId="0" applyNumberFormat="1" applyFont="1" applyFill="1" applyBorder="1" applyAlignment="1" applyProtection="1">
      <alignment vertical="center" wrapText="1"/>
      <protection locked="0"/>
    </xf>
    <xf numFmtId="0" fontId="4" fillId="0" borderId="19" xfId="208" applyFont="1" applyBorder="1" applyProtection="1"/>
    <xf numFmtId="0" fontId="4" fillId="0" borderId="9" xfId="429" applyFont="1" applyBorder="1" applyAlignment="1" applyProtection="1">
      <alignment horizontal="center" vertical="center"/>
      <protection locked="0"/>
    </xf>
    <xf numFmtId="167" fontId="4" fillId="2" borderId="9" xfId="429" applyNumberFormat="1" applyFont="1" applyFill="1" applyBorder="1" applyAlignment="1" applyProtection="1">
      <alignment horizontal="center" vertical="center"/>
    </xf>
    <xf numFmtId="2" fontId="4" fillId="2" borderId="9" xfId="429" applyNumberFormat="1" applyFont="1" applyFill="1" applyBorder="1" applyAlignment="1" applyProtection="1">
      <alignment horizontal="center" vertical="center"/>
    </xf>
    <xf numFmtId="2" fontId="4" fillId="0" borderId="9" xfId="429" applyNumberFormat="1" applyFont="1" applyBorder="1" applyAlignment="1" applyProtection="1">
      <alignment horizontal="center" vertical="center"/>
    </xf>
    <xf numFmtId="0" fontId="5" fillId="26" borderId="13" xfId="71" applyFont="1" applyFill="1" applyBorder="1" applyAlignment="1" applyProtection="1">
      <alignment horizontal="left" vertical="center"/>
    </xf>
    <xf numFmtId="0" fontId="5" fillId="26" borderId="19" xfId="71" applyFont="1" applyFill="1" applyBorder="1" applyAlignment="1" applyProtection="1">
      <alignment horizontal="left" vertical="center"/>
    </xf>
    <xf numFmtId="1" fontId="102" fillId="0" borderId="19" xfId="208" applyNumberFormat="1" applyFont="1" applyBorder="1" applyAlignment="1" applyProtection="1">
      <alignment horizontal="center"/>
    </xf>
    <xf numFmtId="167" fontId="102" fillId="0" borderId="18" xfId="208" applyNumberFormat="1" applyFont="1" applyBorder="1" applyAlignment="1" applyProtection="1">
      <alignment horizontal="center"/>
    </xf>
    <xf numFmtId="0" fontId="43" fillId="0" borderId="61" xfId="208" applyFont="1" applyBorder="1" applyAlignment="1" applyProtection="1">
      <alignment horizontal="left" indent="4"/>
    </xf>
    <xf numFmtId="0" fontId="5" fillId="26" borderId="19" xfId="71" applyFont="1" applyFill="1" applyBorder="1" applyAlignment="1" applyProtection="1">
      <alignment vertical="center"/>
    </xf>
    <xf numFmtId="0" fontId="43" fillId="0" borderId="61" xfId="208" applyFont="1" applyBorder="1" applyAlignment="1" applyProtection="1">
      <alignment horizontal="left" wrapText="1" indent="4"/>
    </xf>
    <xf numFmtId="0" fontId="2" fillId="0" borderId="11" xfId="208" applyFont="1" applyBorder="1" applyAlignment="1" applyProtection="1">
      <alignment horizontal="center" vertical="center"/>
    </xf>
    <xf numFmtId="0" fontId="2" fillId="0" borderId="11" xfId="208" applyFont="1" applyBorder="1" applyAlignment="1" applyProtection="1">
      <alignment vertical="center" wrapText="1"/>
    </xf>
    <xf numFmtId="173" fontId="43" fillId="0" borderId="29" xfId="208" applyNumberFormat="1" applyFont="1" applyBorder="1" applyAlignment="1" applyProtection="1">
      <alignment vertical="center"/>
    </xf>
    <xf numFmtId="173" fontId="43" fillId="0" borderId="61" xfId="208" applyNumberFormat="1" applyFont="1" applyBorder="1" applyAlignment="1" applyProtection="1">
      <alignment vertical="center"/>
    </xf>
    <xf numFmtId="0" fontId="2" fillId="0" borderId="174" xfId="208" applyFont="1" applyBorder="1" applyAlignment="1" applyProtection="1">
      <alignment horizontal="center" vertical="center"/>
    </xf>
    <xf numFmtId="167" fontId="2" fillId="0" borderId="122" xfId="208" applyNumberFormat="1" applyFont="1" applyBorder="1" applyAlignment="1" applyProtection="1">
      <alignment horizontal="center" vertical="center"/>
    </xf>
    <xf numFmtId="0" fontId="43" fillId="25" borderId="29" xfId="208" applyFont="1" applyFill="1" applyBorder="1" applyAlignment="1" applyProtection="1">
      <alignment horizontal="center" vertical="center"/>
    </xf>
    <xf numFmtId="0" fontId="2" fillId="26" borderId="37" xfId="71" applyFont="1" applyFill="1" applyBorder="1" applyAlignment="1" applyProtection="1">
      <alignment horizontal="left" vertical="center"/>
    </xf>
    <xf numFmtId="168" fontId="2" fillId="26" borderId="37" xfId="71" applyNumberFormat="1" applyFont="1" applyFill="1" applyBorder="1" applyAlignment="1" applyProtection="1">
      <alignment horizontal="left" vertical="center"/>
    </xf>
    <xf numFmtId="0" fontId="5" fillId="25" borderId="61" xfId="68" applyFont="1" applyFill="1" applyBorder="1" applyAlignment="1" applyProtection="1">
      <alignment horizontal="left" vertical="center" indent="2"/>
    </xf>
    <xf numFmtId="0" fontId="5" fillId="25" borderId="62" xfId="68" applyFont="1" applyFill="1" applyBorder="1" applyAlignment="1" applyProtection="1">
      <alignment horizontal="left" vertical="center" indent="2"/>
    </xf>
    <xf numFmtId="0" fontId="2" fillId="0" borderId="16" xfId="208" applyFont="1" applyBorder="1" applyAlignment="1" applyProtection="1">
      <alignment horizontal="center"/>
    </xf>
    <xf numFmtId="0" fontId="2" fillId="0" borderId="39" xfId="208" applyFont="1" applyBorder="1" applyAlignment="1" applyProtection="1">
      <alignment horizontal="center"/>
    </xf>
    <xf numFmtId="0" fontId="2" fillId="0" borderId="40" xfId="208" applyFont="1" applyBorder="1" applyAlignment="1" applyProtection="1">
      <alignment horizontal="center"/>
    </xf>
    <xf numFmtId="167" fontId="43" fillId="2" borderId="197" xfId="208" applyNumberFormat="1" applyFont="1" applyFill="1" applyBorder="1" applyAlignment="1" applyProtection="1">
      <alignment horizontal="center" vertical="center" wrapText="1"/>
    </xf>
    <xf numFmtId="0" fontId="2" fillId="0" borderId="34" xfId="208" applyFont="1" applyBorder="1" applyAlignment="1" applyProtection="1">
      <alignment horizontal="right" vertical="center"/>
    </xf>
    <xf numFmtId="0" fontId="2" fillId="0" borderId="0" xfId="208" applyFont="1" applyBorder="1" applyAlignment="1" applyProtection="1">
      <alignment vertical="center"/>
    </xf>
    <xf numFmtId="0" fontId="2" fillId="0" borderId="0" xfId="208" applyFont="1" applyBorder="1" applyAlignment="1" applyProtection="1">
      <alignment horizontal="right" vertical="center"/>
    </xf>
    <xf numFmtId="0" fontId="43" fillId="26" borderId="0" xfId="70" applyFont="1" applyFill="1" applyBorder="1" applyAlignment="1" applyProtection="1">
      <alignment horizontal="right" vertical="center" wrapText="1"/>
    </xf>
    <xf numFmtId="186" fontId="2" fillId="0" borderId="0" xfId="71" applyNumberFormat="1" applyFont="1" applyBorder="1" applyAlignment="1" applyProtection="1">
      <alignment vertical="center"/>
    </xf>
    <xf numFmtId="186" fontId="43" fillId="0" borderId="0" xfId="71" applyNumberFormat="1" applyFont="1" applyBorder="1" applyAlignment="1" applyProtection="1">
      <alignment horizontal="right" vertical="center"/>
    </xf>
    <xf numFmtId="186" fontId="2" fillId="26" borderId="0" xfId="71" applyNumberFormat="1" applyFont="1" applyFill="1" applyBorder="1" applyAlignment="1" applyProtection="1">
      <alignment vertical="center"/>
    </xf>
    <xf numFmtId="167" fontId="4" fillId="0" borderId="9" xfId="429" applyNumberFormat="1" applyFont="1" applyBorder="1" applyAlignment="1" applyProtection="1">
      <alignment horizontal="center" vertical="center"/>
    </xf>
    <xf numFmtId="167" fontId="100" fillId="0" borderId="0" xfId="429" applyNumberFormat="1" applyFont="1" applyBorder="1" applyAlignment="1" applyProtection="1">
      <alignment horizontal="center" vertical="center"/>
      <protection locked="0"/>
    </xf>
    <xf numFmtId="0" fontId="4" fillId="25" borderId="10" xfId="429" applyFont="1" applyFill="1" applyBorder="1" applyAlignment="1" applyProtection="1">
      <alignment horizontal="right" vertical="center" wrapText="1"/>
    </xf>
    <xf numFmtId="1" fontId="4" fillId="26" borderId="9" xfId="429" applyNumberFormat="1" applyFont="1" applyFill="1" applyBorder="1" applyAlignment="1" applyProtection="1">
      <alignment horizontal="center" vertical="center"/>
    </xf>
    <xf numFmtId="167" fontId="2" fillId="0" borderId="164" xfId="208" applyNumberFormat="1" applyFont="1" applyBorder="1" applyAlignment="1" applyProtection="1">
      <alignment horizontal="center" vertical="center"/>
    </xf>
    <xf numFmtId="1" fontId="2" fillId="0" borderId="201" xfId="208" applyNumberFormat="1" applyFont="1" applyBorder="1" applyAlignment="1" applyProtection="1">
      <alignment horizontal="center" vertical="center"/>
    </xf>
    <xf numFmtId="0" fontId="42" fillId="0" borderId="18" xfId="208" applyFont="1" applyBorder="1" applyAlignment="1" applyProtection="1">
      <alignment horizontal="center" vertical="center"/>
    </xf>
    <xf numFmtId="0" fontId="115" fillId="25" borderId="79" xfId="208" applyFont="1" applyFill="1" applyBorder="1" applyAlignment="1" applyProtection="1">
      <alignment horizontal="center"/>
    </xf>
    <xf numFmtId="167" fontId="117" fillId="0" borderId="79" xfId="208" applyNumberFormat="1" applyFont="1" applyFill="1" applyBorder="1" applyAlignment="1" applyProtection="1">
      <alignment horizontal="center"/>
    </xf>
    <xf numFmtId="167" fontId="117" fillId="0" borderId="203" xfId="208" applyNumberFormat="1" applyFont="1" applyFill="1" applyBorder="1" applyAlignment="1" applyProtection="1">
      <alignment horizontal="center"/>
    </xf>
    <xf numFmtId="0" fontId="2" fillId="0" borderId="16" xfId="208" applyFont="1" applyBorder="1" applyAlignment="1" applyProtection="1">
      <alignment vertical="center"/>
    </xf>
    <xf numFmtId="0" fontId="4" fillId="0" borderId="14" xfId="208" applyFont="1" applyBorder="1" applyAlignment="1" applyProtection="1">
      <alignment horizontal="center"/>
    </xf>
    <xf numFmtId="0" fontId="4" fillId="0" borderId="15" xfId="208" applyFont="1" applyBorder="1" applyProtection="1"/>
    <xf numFmtId="0" fontId="115" fillId="25" borderId="34" xfId="208" applyFont="1" applyFill="1" applyBorder="1" applyAlignment="1" applyProtection="1">
      <alignment horizontal="center" vertical="center" wrapText="1"/>
    </xf>
    <xf numFmtId="0" fontId="115" fillId="25" borderId="0" xfId="208" applyFont="1" applyFill="1" applyBorder="1" applyAlignment="1" applyProtection="1">
      <alignment horizontal="center" vertical="center" wrapText="1"/>
    </xf>
    <xf numFmtId="0" fontId="115" fillId="25" borderId="0" xfId="208" applyFont="1" applyFill="1" applyBorder="1" applyAlignment="1" applyProtection="1">
      <alignment horizontal="center"/>
    </xf>
    <xf numFmtId="1" fontId="117" fillId="0" borderId="0" xfId="208" applyNumberFormat="1" applyFont="1" applyFill="1" applyBorder="1" applyAlignment="1" applyProtection="1">
      <alignment horizontal="center"/>
    </xf>
    <xf numFmtId="1" fontId="117" fillId="0" borderId="39" xfId="208" applyNumberFormat="1" applyFont="1" applyFill="1" applyBorder="1" applyAlignment="1" applyProtection="1">
      <alignment horizontal="center"/>
    </xf>
    <xf numFmtId="167" fontId="119" fillId="33" borderId="56" xfId="431" applyNumberFormat="1" applyFont="1" applyFill="1" applyBorder="1" applyAlignment="1" applyProtection="1">
      <alignment horizontal="center" vertical="center"/>
      <protection locked="0"/>
    </xf>
    <xf numFmtId="1" fontId="126" fillId="0" borderId="62" xfId="208" applyNumberFormat="1" applyFont="1" applyBorder="1" applyAlignment="1" applyProtection="1">
      <alignment horizontal="center" vertical="center"/>
    </xf>
    <xf numFmtId="173" fontId="126" fillId="0" borderId="61" xfId="208" applyNumberFormat="1" applyFont="1" applyBorder="1" applyAlignment="1" applyProtection="1">
      <alignment horizontal="center"/>
    </xf>
    <xf numFmtId="0" fontId="43" fillId="26" borderId="19" xfId="71" applyFont="1" applyFill="1" applyBorder="1" applyAlignment="1" applyProtection="1">
      <alignment horizontal="left" vertical="center"/>
    </xf>
    <xf numFmtId="168" fontId="2" fillId="26" borderId="18" xfId="208" applyNumberFormat="1" applyFont="1" applyFill="1" applyBorder="1" applyAlignment="1" applyProtection="1">
      <alignment horizontal="left"/>
    </xf>
    <xf numFmtId="0" fontId="4" fillId="0" borderId="0" xfId="72" applyFont="1" applyBorder="1" applyProtection="1">
      <protection locked="0"/>
    </xf>
    <xf numFmtId="0" fontId="4" fillId="0" borderId="0" xfId="72" applyFont="1" applyProtection="1">
      <protection locked="0"/>
    </xf>
    <xf numFmtId="0" fontId="4" fillId="0" borderId="0" xfId="72" applyFont="1" applyBorder="1" applyAlignment="1" applyProtection="1">
      <protection locked="0"/>
    </xf>
    <xf numFmtId="0" fontId="4" fillId="0" borderId="0" xfId="72" applyFont="1" applyBorder="1" applyAlignment="1" applyProtection="1">
      <alignment vertical="center"/>
      <protection locked="0"/>
    </xf>
    <xf numFmtId="0" fontId="47" fillId="0" borderId="0" xfId="69" applyFont="1" applyBorder="1" applyAlignment="1" applyProtection="1">
      <alignment wrapText="1"/>
      <protection locked="0"/>
    </xf>
    <xf numFmtId="0" fontId="1" fillId="0" borderId="0" xfId="71" applyFont="1" applyFill="1" applyProtection="1">
      <protection locked="0"/>
    </xf>
    <xf numFmtId="0" fontId="47" fillId="0" borderId="0" xfId="70" applyFont="1" applyFill="1" applyBorder="1" applyAlignment="1" applyProtection="1">
      <alignment vertical="center" wrapText="1"/>
      <protection locked="0"/>
    </xf>
    <xf numFmtId="0" fontId="10" fillId="2" borderId="0" xfId="0" applyFont="1" applyFill="1" applyProtection="1">
      <protection locked="0"/>
    </xf>
    <xf numFmtId="0" fontId="39" fillId="2" borderId="0" xfId="0" applyFont="1" applyFill="1" applyProtection="1">
      <protection locked="0"/>
    </xf>
    <xf numFmtId="0" fontId="0" fillId="2" borderId="0" xfId="0" applyFill="1" applyProtection="1">
      <protection locked="0"/>
    </xf>
    <xf numFmtId="0" fontId="1" fillId="0" borderId="0" xfId="21" applyFont="1" applyFill="1" applyAlignment="1" applyProtection="1">
      <alignment vertical="center"/>
      <protection locked="0"/>
    </xf>
    <xf numFmtId="0" fontId="1" fillId="0" borderId="0" xfId="71" applyFont="1" applyFill="1" applyAlignment="1" applyProtection="1">
      <alignment vertical="center"/>
      <protection locked="0"/>
    </xf>
    <xf numFmtId="0" fontId="50" fillId="0" borderId="0" xfId="72" applyProtection="1">
      <protection locked="0"/>
    </xf>
    <xf numFmtId="0" fontId="3" fillId="2" borderId="0" xfId="72" applyFont="1" applyFill="1" applyBorder="1" applyAlignment="1" applyProtection="1">
      <alignment horizontal="center"/>
      <protection locked="0"/>
    </xf>
    <xf numFmtId="0" fontId="54" fillId="2" borderId="0" xfId="72" applyFont="1" applyFill="1" applyBorder="1" applyAlignment="1" applyProtection="1">
      <alignment horizontal="center" vertical="center"/>
      <protection locked="0"/>
    </xf>
    <xf numFmtId="0" fontId="50" fillId="0" borderId="0" xfId="72" applyBorder="1" applyProtection="1">
      <protection locked="0"/>
    </xf>
    <xf numFmtId="0" fontId="50" fillId="2" borderId="0" xfId="72" applyFill="1" applyBorder="1" applyProtection="1">
      <protection locked="0"/>
    </xf>
    <xf numFmtId="0" fontId="43" fillId="2" borderId="0" xfId="72" applyFont="1" applyFill="1" applyBorder="1" applyAlignment="1" applyProtection="1">
      <alignment horizontal="center"/>
      <protection locked="0"/>
    </xf>
    <xf numFmtId="0" fontId="45" fillId="2" borderId="0" xfId="72" applyFont="1" applyFill="1" applyBorder="1" applyAlignment="1" applyProtection="1">
      <alignment horizontal="center"/>
      <protection locked="0"/>
    </xf>
    <xf numFmtId="0" fontId="55" fillId="2" borderId="0" xfId="72" applyFont="1" applyFill="1" applyBorder="1" applyProtection="1">
      <protection locked="0"/>
    </xf>
    <xf numFmtId="0" fontId="5" fillId="0" borderId="0" xfId="72" applyFont="1" applyBorder="1" applyAlignment="1" applyProtection="1">
      <protection locked="0"/>
    </xf>
    <xf numFmtId="0" fontId="1" fillId="0" borderId="0" xfId="72" applyFont="1" applyBorder="1" applyAlignment="1" applyProtection="1">
      <alignment horizontal="left"/>
      <protection locked="0"/>
    </xf>
    <xf numFmtId="0" fontId="50" fillId="0" borderId="0" xfId="72" applyBorder="1" applyAlignment="1" applyProtection="1">
      <alignment horizontal="left"/>
      <protection locked="0"/>
    </xf>
    <xf numFmtId="0" fontId="3" fillId="0" borderId="0" xfId="72" applyFont="1" applyBorder="1" applyAlignment="1" applyProtection="1">
      <protection locked="0"/>
    </xf>
    <xf numFmtId="0" fontId="50" fillId="0" borderId="0" xfId="72" applyBorder="1" applyAlignment="1" applyProtection="1">
      <protection locked="0"/>
    </xf>
    <xf numFmtId="0" fontId="4" fillId="0" borderId="0" xfId="72" applyFont="1" applyBorder="1" applyAlignment="1" applyProtection="1">
      <alignment horizontal="left"/>
      <protection locked="0"/>
    </xf>
    <xf numFmtId="0" fontId="109" fillId="0" borderId="0" xfId="72" applyFont="1" applyProtection="1">
      <protection locked="0"/>
    </xf>
    <xf numFmtId="0" fontId="50" fillId="0" borderId="0" xfId="72" applyAlignment="1" applyProtection="1">
      <alignment vertical="center"/>
      <protection locked="0"/>
    </xf>
    <xf numFmtId="0" fontId="77" fillId="0" borderId="0" xfId="72" applyFont="1" applyBorder="1" applyProtection="1">
      <protection locked="0"/>
    </xf>
    <xf numFmtId="0" fontId="77" fillId="0" borderId="0" xfId="72" applyFont="1" applyProtection="1">
      <protection locked="0"/>
    </xf>
    <xf numFmtId="0" fontId="1" fillId="0" borderId="37" xfId="71" applyFont="1" applyFill="1" applyBorder="1" applyProtection="1">
      <protection locked="0"/>
    </xf>
    <xf numFmtId="0" fontId="16" fillId="2" borderId="0" xfId="72" applyFont="1" applyFill="1" applyBorder="1" applyAlignment="1" applyProtection="1">
      <alignment vertical="center"/>
      <protection locked="0"/>
    </xf>
    <xf numFmtId="0" fontId="16" fillId="0" borderId="0" xfId="72" applyFont="1" applyBorder="1" applyAlignment="1" applyProtection="1">
      <alignment vertical="center" wrapText="1"/>
      <protection locked="0"/>
    </xf>
    <xf numFmtId="0" fontId="4" fillId="0" borderId="0" xfId="72" applyFont="1" applyFill="1" applyBorder="1" applyAlignment="1" applyProtection="1">
      <alignment vertical="center"/>
      <protection locked="0"/>
    </xf>
    <xf numFmtId="0" fontId="10" fillId="2" borderId="0" xfId="21" applyFont="1" applyFill="1" applyProtection="1">
      <protection locked="0"/>
    </xf>
    <xf numFmtId="0" fontId="20" fillId="2" borderId="0" xfId="72" applyFont="1" applyFill="1" applyAlignment="1" applyProtection="1">
      <protection locked="0"/>
    </xf>
    <xf numFmtId="0" fontId="50" fillId="0" borderId="0" xfId="72" applyBorder="1" applyAlignment="1" applyProtection="1">
      <alignment vertical="center"/>
      <protection locked="0"/>
    </xf>
    <xf numFmtId="0" fontId="50" fillId="0" borderId="0" xfId="72" applyFill="1" applyBorder="1" applyAlignment="1" applyProtection="1">
      <alignment vertical="center"/>
      <protection locked="0"/>
    </xf>
    <xf numFmtId="0" fontId="20" fillId="0" borderId="0" xfId="72" applyFont="1" applyAlignment="1" applyProtection="1">
      <protection locked="0"/>
    </xf>
    <xf numFmtId="0" fontId="4" fillId="0" borderId="0" xfId="72" applyFont="1" applyFill="1" applyAlignment="1" applyProtection="1">
      <alignment vertical="center"/>
      <protection locked="0"/>
    </xf>
    <xf numFmtId="0" fontId="4" fillId="0" borderId="0" xfId="72" applyFont="1" applyAlignment="1" applyProtection="1">
      <alignment vertical="center"/>
      <protection locked="0"/>
    </xf>
    <xf numFmtId="0" fontId="4" fillId="2" borderId="0" xfId="72" applyFont="1" applyFill="1" applyBorder="1" applyAlignment="1" applyProtection="1">
      <alignment vertical="center"/>
      <protection locked="0"/>
    </xf>
    <xf numFmtId="0" fontId="50" fillId="0" borderId="0" xfId="72" applyFill="1" applyAlignment="1" applyProtection="1">
      <alignment vertical="center"/>
      <protection locked="0"/>
    </xf>
    <xf numFmtId="0" fontId="1" fillId="2" borderId="13" xfId="1" applyFont="1" applyFill="1" applyBorder="1" applyAlignment="1" applyProtection="1">
      <protection locked="0"/>
    </xf>
    <xf numFmtId="0" fontId="1" fillId="2" borderId="12" xfId="1" applyFont="1" applyFill="1" applyBorder="1" applyAlignment="1" applyProtection="1">
      <protection locked="0"/>
    </xf>
    <xf numFmtId="0" fontId="1" fillId="2" borderId="17" xfId="1" applyFont="1" applyFill="1" applyBorder="1" applyAlignment="1" applyProtection="1">
      <protection locked="0"/>
    </xf>
    <xf numFmtId="0" fontId="4" fillId="0" borderId="17" xfId="1" applyFont="1" applyBorder="1" applyAlignment="1" applyProtection="1">
      <alignment vertical="center"/>
      <protection locked="0"/>
    </xf>
    <xf numFmtId="0" fontId="1" fillId="0" borderId="0" xfId="1" applyProtection="1">
      <protection locked="0"/>
    </xf>
    <xf numFmtId="0" fontId="1" fillId="0" borderId="0" xfId="1" applyFont="1" applyProtection="1">
      <protection locked="0"/>
    </xf>
    <xf numFmtId="0" fontId="4" fillId="0" borderId="0" xfId="1" applyFont="1" applyProtection="1">
      <protection locked="0"/>
    </xf>
    <xf numFmtId="0" fontId="4" fillId="0" borderId="72" xfId="1" applyFont="1" applyBorder="1" applyProtection="1">
      <protection locked="0"/>
    </xf>
    <xf numFmtId="0" fontId="4" fillId="0" borderId="34" xfId="1" applyFont="1" applyBorder="1" applyProtection="1">
      <protection locked="0"/>
    </xf>
    <xf numFmtId="0" fontId="4" fillId="0" borderId="107" xfId="1" applyFont="1" applyBorder="1" applyProtection="1">
      <protection locked="0"/>
    </xf>
    <xf numFmtId="0" fontId="1" fillId="0" borderId="19" xfId="1" applyFont="1" applyBorder="1" applyAlignment="1" applyProtection="1">
      <protection locked="0"/>
    </xf>
    <xf numFmtId="0" fontId="1" fillId="0" borderId="0" xfId="1" applyFont="1" applyBorder="1" applyProtection="1">
      <protection locked="0"/>
    </xf>
    <xf numFmtId="0" fontId="1" fillId="0" borderId="18" xfId="1" applyFont="1" applyBorder="1" applyProtection="1">
      <protection locked="0"/>
    </xf>
    <xf numFmtId="0" fontId="1" fillId="0" borderId="19" xfId="1" applyFont="1" applyBorder="1" applyProtection="1">
      <protection locked="0"/>
    </xf>
    <xf numFmtId="0" fontId="1" fillId="0" borderId="0" xfId="1" applyFont="1" applyBorder="1" applyAlignment="1" applyProtection="1">
      <protection locked="0"/>
    </xf>
    <xf numFmtId="0" fontId="4" fillId="0" borderId="19" xfId="1" applyFont="1" applyBorder="1" applyAlignment="1" applyProtection="1">
      <protection locked="0"/>
    </xf>
    <xf numFmtId="0" fontId="4" fillId="0" borderId="0" xfId="1" applyFont="1" applyBorder="1" applyAlignment="1" applyProtection="1">
      <protection locked="0"/>
    </xf>
    <xf numFmtId="0" fontId="4" fillId="0" borderId="0" xfId="1" applyFont="1" applyBorder="1" applyProtection="1">
      <protection locked="0"/>
    </xf>
    <xf numFmtId="0" fontId="4" fillId="0" borderId="18" xfId="1" applyFont="1" applyBorder="1" applyProtection="1">
      <protection locked="0"/>
    </xf>
    <xf numFmtId="2" fontId="56" fillId="0" borderId="19" xfId="1" applyNumberFormat="1" applyFont="1" applyFill="1" applyBorder="1" applyAlignment="1" applyProtection="1">
      <protection locked="0"/>
    </xf>
    <xf numFmtId="2" fontId="57" fillId="0" borderId="0" xfId="1" applyNumberFormat="1" applyFont="1" applyFill="1" applyBorder="1" applyAlignment="1" applyProtection="1">
      <protection locked="0"/>
    </xf>
    <xf numFmtId="0" fontId="2" fillId="0" borderId="0" xfId="1" applyFont="1" applyBorder="1" applyProtection="1">
      <protection locked="0"/>
    </xf>
    <xf numFmtId="2" fontId="57" fillId="0" borderId="19" xfId="1" applyNumberFormat="1" applyFont="1" applyFill="1" applyBorder="1" applyAlignment="1" applyProtection="1">
      <protection locked="0"/>
    </xf>
    <xf numFmtId="0" fontId="1" fillId="0" borderId="121" xfId="1" applyFont="1" applyBorder="1" applyProtection="1">
      <protection locked="0"/>
    </xf>
    <xf numFmtId="0" fontId="1" fillId="0" borderId="39" xfId="1" applyFont="1" applyBorder="1" applyProtection="1">
      <protection locked="0"/>
    </xf>
    <xf numFmtId="0" fontId="1" fillId="0" borderId="122" xfId="1" applyFont="1" applyBorder="1" applyProtection="1">
      <protection locked="0"/>
    </xf>
    <xf numFmtId="0" fontId="1" fillId="0" borderId="0" xfId="68" applyFont="1" applyProtection="1">
      <protection locked="0"/>
    </xf>
    <xf numFmtId="0" fontId="1" fillId="0" borderId="0" xfId="74" applyFont="1" applyProtection="1">
      <protection locked="0"/>
    </xf>
    <xf numFmtId="0" fontId="1" fillId="0" borderId="0" xfId="68" applyFont="1" applyAlignment="1" applyProtection="1">
      <alignment vertical="center"/>
      <protection locked="0"/>
    </xf>
    <xf numFmtId="0" fontId="1" fillId="0" borderId="0" xfId="74" applyFont="1" applyAlignment="1" applyProtection="1">
      <alignment vertical="center"/>
      <protection locked="0"/>
    </xf>
    <xf numFmtId="167" fontId="4" fillId="0" borderId="17" xfId="74" applyNumberFormat="1" applyFont="1" applyBorder="1" applyAlignment="1" applyProtection="1">
      <alignment horizontal="center" vertical="center"/>
      <protection locked="0"/>
    </xf>
    <xf numFmtId="167" fontId="1" fillId="0" borderId="0" xfId="74" applyNumberFormat="1" applyFont="1" applyProtection="1">
      <protection locked="0"/>
    </xf>
    <xf numFmtId="0" fontId="4" fillId="0" borderId="9" xfId="74" applyFont="1" applyBorder="1" applyAlignment="1" applyProtection="1">
      <alignment horizontal="center" vertical="center"/>
      <protection locked="0"/>
    </xf>
    <xf numFmtId="0" fontId="1" fillId="0" borderId="0" xfId="74" applyFont="1" applyFill="1" applyProtection="1">
      <protection locked="0"/>
    </xf>
    <xf numFmtId="0" fontId="1" fillId="0" borderId="0" xfId="74" applyFont="1" applyFill="1" applyAlignment="1" applyProtection="1">
      <alignment vertical="center"/>
      <protection locked="0"/>
    </xf>
    <xf numFmtId="0" fontId="1" fillId="0" borderId="0" xfId="208" applyProtection="1">
      <protection locked="0"/>
    </xf>
    <xf numFmtId="0" fontId="4" fillId="0" borderId="0" xfId="208" applyFont="1" applyProtection="1">
      <protection locked="0"/>
    </xf>
    <xf numFmtId="168" fontId="4" fillId="26" borderId="0" xfId="208" applyNumberFormat="1" applyFont="1" applyFill="1" applyBorder="1" applyAlignment="1" applyProtection="1">
      <alignment vertical="top"/>
      <protection locked="0"/>
    </xf>
    <xf numFmtId="0" fontId="4" fillId="0" borderId="0" xfId="208" applyFont="1" applyBorder="1" applyProtection="1">
      <protection locked="0"/>
    </xf>
    <xf numFmtId="0" fontId="2" fillId="0" borderId="41" xfId="208" applyFont="1" applyBorder="1" applyAlignment="1" applyProtection="1">
      <alignment horizontal="center" vertical="center" wrapText="1"/>
      <protection locked="0"/>
    </xf>
    <xf numFmtId="0" fontId="3" fillId="0" borderId="0" xfId="208" applyFont="1" applyFill="1" applyBorder="1" applyAlignment="1" applyProtection="1">
      <protection locked="0"/>
    </xf>
    <xf numFmtId="0" fontId="1" fillId="0" borderId="0" xfId="208" applyFill="1" applyBorder="1" applyProtection="1">
      <protection locked="0"/>
    </xf>
    <xf numFmtId="0" fontId="1" fillId="0" borderId="0" xfId="208" applyFont="1" applyProtection="1">
      <protection locked="0"/>
    </xf>
    <xf numFmtId="167" fontId="2" fillId="0" borderId="0" xfId="208" applyNumberFormat="1" applyFont="1" applyBorder="1" applyAlignment="1" applyProtection="1">
      <alignment horizontal="center" vertical="center" wrapText="1"/>
      <protection locked="0"/>
    </xf>
    <xf numFmtId="0" fontId="2" fillId="0" borderId="31" xfId="208" applyFont="1" applyFill="1" applyBorder="1" applyAlignment="1" applyProtection="1">
      <alignment vertical="center"/>
      <protection locked="0"/>
    </xf>
    <xf numFmtId="0" fontId="2" fillId="0" borderId="41" xfId="208" applyFont="1" applyFill="1" applyBorder="1" applyAlignment="1" applyProtection="1">
      <alignment vertical="center"/>
      <protection locked="0"/>
    </xf>
    <xf numFmtId="0" fontId="2" fillId="0" borderId="34" xfId="208" applyFont="1" applyBorder="1" applyAlignment="1" applyProtection="1">
      <alignment vertical="center"/>
      <protection locked="0"/>
    </xf>
    <xf numFmtId="0" fontId="2" fillId="0" borderId="33" xfId="208" applyFont="1" applyFill="1" applyBorder="1" applyAlignment="1" applyProtection="1">
      <alignment vertical="center"/>
      <protection locked="0"/>
    </xf>
    <xf numFmtId="0" fontId="2" fillId="0" borderId="34" xfId="208" applyFont="1" applyFill="1" applyBorder="1" applyAlignment="1" applyProtection="1">
      <alignment vertical="center"/>
      <protection locked="0"/>
    </xf>
    <xf numFmtId="0" fontId="1" fillId="0" borderId="0" xfId="208" applyBorder="1" applyProtection="1">
      <protection locked="0"/>
    </xf>
    <xf numFmtId="0" fontId="1" fillId="0" borderId="0" xfId="208" applyFont="1" applyBorder="1" applyProtection="1">
      <protection locked="0"/>
    </xf>
    <xf numFmtId="1" fontId="43" fillId="2" borderId="0" xfId="208" applyNumberFormat="1" applyFont="1" applyFill="1" applyBorder="1" applyAlignment="1" applyProtection="1">
      <alignment vertical="center"/>
      <protection locked="0"/>
    </xf>
    <xf numFmtId="0" fontId="58" fillId="26" borderId="0" xfId="208" applyFont="1" applyFill="1" applyAlignment="1" applyProtection="1">
      <alignment horizontal="left" vertical="top" wrapText="1"/>
      <protection locked="0"/>
    </xf>
    <xf numFmtId="0" fontId="1" fillId="26" borderId="0" xfId="208" applyFill="1" applyProtection="1">
      <protection locked="0"/>
    </xf>
    <xf numFmtId="0" fontId="3" fillId="25" borderId="0" xfId="68" applyFont="1" applyFill="1" applyBorder="1" applyAlignment="1" applyProtection="1">
      <alignment vertical="center"/>
      <protection locked="0"/>
    </xf>
    <xf numFmtId="0" fontId="1" fillId="0" borderId="0" xfId="21" applyFont="1" applyFill="1" applyBorder="1" applyAlignment="1" applyProtection="1">
      <alignment vertical="center"/>
      <protection locked="0"/>
    </xf>
    <xf numFmtId="0" fontId="1" fillId="0" borderId="0" xfId="208" applyFill="1" applyAlignment="1" applyProtection="1">
      <alignment vertical="center"/>
      <protection locked="0"/>
    </xf>
    <xf numFmtId="0" fontId="1" fillId="0" borderId="0" xfId="208" applyAlignment="1" applyProtection="1">
      <alignment vertical="center"/>
      <protection locked="0"/>
    </xf>
    <xf numFmtId="167" fontId="2" fillId="26" borderId="135" xfId="208" applyNumberFormat="1" applyFont="1" applyFill="1" applyBorder="1" applyAlignment="1" applyProtection="1">
      <alignment horizontal="center" vertical="center" wrapText="1"/>
    </xf>
    <xf numFmtId="0" fontId="4" fillId="0" borderId="0" xfId="208" applyFont="1" applyBorder="1" applyAlignment="1" applyProtection="1">
      <alignment horizontal="left"/>
      <protection locked="0"/>
    </xf>
    <xf numFmtId="0" fontId="83" fillId="2" borderId="0" xfId="427" applyFont="1" applyFill="1" applyAlignment="1" applyProtection="1">
      <protection locked="0"/>
    </xf>
    <xf numFmtId="0" fontId="83" fillId="2" borderId="0" xfId="427" applyFont="1" applyFill="1" applyAlignment="1" applyProtection="1">
      <alignment vertical="center"/>
      <protection locked="0"/>
    </xf>
    <xf numFmtId="0" fontId="83" fillId="2" borderId="0" xfId="427" applyFont="1" applyFill="1" applyProtection="1">
      <protection locked="0"/>
    </xf>
    <xf numFmtId="0" fontId="83" fillId="2" borderId="0" xfId="427" applyFont="1" applyFill="1" applyAlignment="1" applyProtection="1">
      <alignment wrapText="1"/>
      <protection locked="0"/>
    </xf>
    <xf numFmtId="0" fontId="98" fillId="33" borderId="56" xfId="295" applyFont="1" applyFill="1" applyBorder="1" applyAlignment="1" applyProtection="1">
      <alignment horizontal="center" vertical="center"/>
      <protection locked="0"/>
    </xf>
    <xf numFmtId="0" fontId="98" fillId="33" borderId="19" xfId="295" applyFont="1" applyFill="1" applyBorder="1" applyAlignment="1" applyProtection="1">
      <alignment horizontal="center" vertical="center"/>
      <protection locked="0"/>
    </xf>
    <xf numFmtId="0" fontId="83" fillId="0" borderId="0" xfId="429" applyFont="1" applyProtection="1">
      <protection locked="0"/>
    </xf>
    <xf numFmtId="0" fontId="121" fillId="33" borderId="12" xfId="295" applyFont="1" applyFill="1" applyBorder="1" applyAlignment="1" applyProtection="1">
      <alignment vertical="center"/>
      <protection locked="0"/>
    </xf>
    <xf numFmtId="0" fontId="122" fillId="33" borderId="0" xfId="431" applyFont="1" applyFill="1" applyBorder="1" applyAlignment="1" applyProtection="1">
      <alignment horizontal="center" vertical="center"/>
      <protection locked="0"/>
    </xf>
    <xf numFmtId="167" fontId="121" fillId="0" borderId="0" xfId="429" applyNumberFormat="1" applyFont="1" applyBorder="1" applyAlignment="1" applyProtection="1">
      <alignment vertical="center"/>
      <protection locked="0"/>
    </xf>
    <xf numFmtId="0" fontId="121" fillId="2" borderId="0" xfId="427" applyFont="1" applyFill="1" applyAlignment="1" applyProtection="1">
      <alignment vertical="center"/>
      <protection locked="0"/>
    </xf>
    <xf numFmtId="0" fontId="83" fillId="0" borderId="0" xfId="429" applyFont="1" applyAlignment="1" applyProtection="1">
      <alignment vertical="center"/>
      <protection locked="0"/>
    </xf>
    <xf numFmtId="2" fontId="83" fillId="2" borderId="0" xfId="427" applyNumberFormat="1" applyFont="1" applyFill="1" applyAlignment="1" applyProtection="1">
      <protection locked="0"/>
    </xf>
    <xf numFmtId="0" fontId="83" fillId="0" borderId="0" xfId="429" applyFont="1" applyAlignment="1" applyProtection="1">
      <alignment horizontal="center" vertical="center"/>
      <protection locked="0"/>
    </xf>
    <xf numFmtId="2" fontId="83" fillId="0" borderId="0" xfId="429" applyNumberFormat="1" applyFont="1" applyAlignment="1" applyProtection="1">
      <alignment vertical="center"/>
      <protection locked="0"/>
    </xf>
    <xf numFmtId="173" fontId="83" fillId="0" borderId="0" xfId="429" applyNumberFormat="1" applyFont="1" applyAlignment="1" applyProtection="1">
      <alignment horizontal="center" vertical="center"/>
      <protection locked="0"/>
    </xf>
    <xf numFmtId="173" fontId="83" fillId="0" borderId="0" xfId="429" applyNumberFormat="1" applyFont="1" applyAlignment="1" applyProtection="1">
      <alignment vertical="center"/>
      <protection locked="0"/>
    </xf>
    <xf numFmtId="0" fontId="1" fillId="26" borderId="0" xfId="208" applyFill="1" applyBorder="1" applyAlignment="1" applyProtection="1">
      <protection locked="0"/>
    </xf>
    <xf numFmtId="0" fontId="1" fillId="26" borderId="0" xfId="208" applyFill="1" applyBorder="1" applyAlignment="1" applyProtection="1">
      <alignment horizontal="center"/>
      <protection locked="0"/>
    </xf>
    <xf numFmtId="0" fontId="1" fillId="26" borderId="0" xfId="208" applyFill="1" applyBorder="1" applyProtection="1">
      <protection locked="0"/>
    </xf>
    <xf numFmtId="0" fontId="78" fillId="26" borderId="0" xfId="295" applyFont="1" applyFill="1" applyBorder="1" applyAlignment="1" applyProtection="1">
      <alignment vertical="center" wrapText="1"/>
      <protection locked="0"/>
    </xf>
    <xf numFmtId="0" fontId="3" fillId="26" borderId="0" xfId="208" applyFont="1" applyFill="1" applyBorder="1" applyAlignment="1" applyProtection="1">
      <alignment vertical="center" wrapText="1"/>
      <protection locked="0"/>
    </xf>
    <xf numFmtId="0" fontId="3" fillId="26" borderId="0" xfId="208" applyFont="1" applyFill="1" applyBorder="1" applyAlignment="1" applyProtection="1">
      <alignment horizontal="center" vertical="center" wrapText="1"/>
      <protection locked="0"/>
    </xf>
    <xf numFmtId="0" fontId="4" fillId="26" borderId="0" xfId="208" applyFont="1" applyFill="1" applyBorder="1" applyAlignment="1" applyProtection="1">
      <protection locked="0"/>
    </xf>
    <xf numFmtId="0" fontId="4" fillId="26" borderId="0" xfId="208" applyFont="1" applyFill="1" applyBorder="1" applyAlignment="1" applyProtection="1">
      <alignment horizontal="center"/>
      <protection locked="0"/>
    </xf>
    <xf numFmtId="168" fontId="4" fillId="26" borderId="0" xfId="71" applyNumberFormat="1" applyFont="1" applyFill="1" applyBorder="1" applyAlignment="1" applyProtection="1">
      <alignment horizontal="left" vertical="center"/>
      <protection locked="0"/>
    </xf>
    <xf numFmtId="0" fontId="1" fillId="26" borderId="0" xfId="208" applyFill="1" applyBorder="1" applyAlignment="1" applyProtection="1">
      <alignment vertical="top"/>
      <protection locked="0"/>
    </xf>
    <xf numFmtId="0" fontId="1" fillId="26" borderId="0" xfId="208" applyFill="1" applyBorder="1" applyAlignment="1" applyProtection="1">
      <alignment horizontal="left" vertical="top"/>
      <protection locked="0"/>
    </xf>
    <xf numFmtId="1" fontId="1" fillId="26" borderId="0" xfId="208" applyNumberFormat="1" applyFill="1" applyBorder="1" applyProtection="1">
      <protection locked="0"/>
    </xf>
    <xf numFmtId="167" fontId="1" fillId="26" borderId="0" xfId="208" applyNumberFormat="1" applyFill="1" applyBorder="1" applyProtection="1">
      <protection locked="0"/>
    </xf>
    <xf numFmtId="2" fontId="1" fillId="26" borderId="0" xfId="208" applyNumberFormat="1" applyFill="1" applyBorder="1" applyProtection="1">
      <protection locked="0"/>
    </xf>
    <xf numFmtId="0" fontId="1" fillId="0" borderId="0" xfId="208" applyFill="1" applyBorder="1" applyAlignment="1" applyProtection="1">
      <alignment vertical="top"/>
      <protection locked="0"/>
    </xf>
    <xf numFmtId="0" fontId="1" fillId="0" borderId="0" xfId="208" applyFill="1" applyBorder="1" applyAlignment="1" applyProtection="1">
      <alignment horizontal="left" vertical="top"/>
      <protection locked="0"/>
    </xf>
    <xf numFmtId="0" fontId="1" fillId="31" borderId="0" xfId="208" applyFill="1" applyBorder="1" applyAlignment="1" applyProtection="1">
      <alignment horizontal="left" vertical="top"/>
      <protection locked="0"/>
    </xf>
    <xf numFmtId="0" fontId="1" fillId="0" borderId="0" xfId="208" applyFill="1" applyBorder="1" applyAlignment="1" applyProtection="1">
      <alignment vertical="center"/>
      <protection locked="0"/>
    </xf>
    <xf numFmtId="0" fontId="1" fillId="0" borderId="0" xfId="208" applyFill="1" applyBorder="1" applyAlignment="1" applyProtection="1">
      <alignment horizontal="left" vertical="center"/>
      <protection locked="0"/>
    </xf>
    <xf numFmtId="0" fontId="1" fillId="31" borderId="0" xfId="208" applyFill="1" applyBorder="1" applyAlignment="1" applyProtection="1">
      <alignment horizontal="left" vertical="center"/>
      <protection locked="0"/>
    </xf>
    <xf numFmtId="0" fontId="1" fillId="0" borderId="0" xfId="208" applyFont="1" applyAlignment="1" applyProtection="1">
      <alignment vertical="center"/>
      <protection locked="0"/>
    </xf>
    <xf numFmtId="0" fontId="1" fillId="0" borderId="0" xfId="208" applyFill="1" applyBorder="1" applyAlignment="1" applyProtection="1">
      <alignment vertical="top" wrapText="1"/>
      <protection locked="0"/>
    </xf>
    <xf numFmtId="0" fontId="1" fillId="0" borderId="0" xfId="208" applyFill="1" applyBorder="1" applyAlignment="1" applyProtection="1">
      <alignment horizontal="left" vertical="top" wrapText="1"/>
      <protection locked="0"/>
    </xf>
    <xf numFmtId="0" fontId="1" fillId="31" borderId="0" xfId="208" applyFill="1" applyBorder="1" applyAlignment="1" applyProtection="1">
      <alignment horizontal="left" vertical="top" wrapText="1"/>
      <protection locked="0"/>
    </xf>
    <xf numFmtId="0" fontId="1" fillId="0" borderId="0" xfId="208" applyAlignment="1" applyProtection="1">
      <alignment wrapText="1"/>
      <protection locked="0"/>
    </xf>
    <xf numFmtId="0" fontId="1" fillId="0" borderId="0" xfId="208" applyFill="1" applyProtection="1">
      <protection locked="0"/>
    </xf>
    <xf numFmtId="0" fontId="1" fillId="31" borderId="0" xfId="208" applyFill="1" applyBorder="1" applyProtection="1">
      <protection locked="0"/>
    </xf>
    <xf numFmtId="0" fontId="1" fillId="31" borderId="0" xfId="208" applyFill="1" applyProtection="1">
      <protection locked="0"/>
    </xf>
    <xf numFmtId="0" fontId="1" fillId="0" borderId="0" xfId="208" applyFill="1" applyBorder="1" applyAlignment="1" applyProtection="1">
      <protection locked="0"/>
    </xf>
    <xf numFmtId="0" fontId="1" fillId="31" borderId="0" xfId="208" applyFill="1" applyBorder="1" applyAlignment="1" applyProtection="1">
      <protection locked="0"/>
    </xf>
    <xf numFmtId="0" fontId="1" fillId="0" borderId="0" xfId="208" applyBorder="1" applyAlignment="1" applyProtection="1">
      <alignment vertical="center" wrapText="1"/>
      <protection locked="0"/>
    </xf>
    <xf numFmtId="0" fontId="1" fillId="31" borderId="0" xfId="208" applyFill="1" applyBorder="1" applyAlignment="1" applyProtection="1">
      <alignment vertical="center" wrapText="1"/>
      <protection locked="0"/>
    </xf>
    <xf numFmtId="0" fontId="1" fillId="0" borderId="0" xfId="208" applyAlignment="1" applyProtection="1">
      <alignment vertical="center" wrapText="1"/>
      <protection locked="0"/>
    </xf>
    <xf numFmtId="0" fontId="1" fillId="0" borderId="0" xfId="208" applyFill="1" applyBorder="1" applyAlignment="1" applyProtection="1">
      <alignment vertical="center" wrapText="1"/>
      <protection locked="0"/>
    </xf>
    <xf numFmtId="0" fontId="84" fillId="2" borderId="0" xfId="208" applyFont="1" applyFill="1" applyProtection="1">
      <protection locked="0"/>
    </xf>
    <xf numFmtId="0" fontId="64" fillId="2" borderId="0" xfId="208" applyFont="1" applyFill="1" applyProtection="1">
      <protection locked="0"/>
    </xf>
    <xf numFmtId="0" fontId="2" fillId="26" borderId="37" xfId="72" applyFont="1" applyFill="1" applyBorder="1" applyAlignment="1" applyProtection="1">
      <alignment horizontal="left" vertical="center"/>
    </xf>
    <xf numFmtId="0" fontId="1" fillId="0" borderId="0" xfId="208"/>
    <xf numFmtId="0" fontId="1" fillId="0" borderId="0" xfId="208" applyAlignment="1">
      <alignment horizontal="center" vertical="center"/>
    </xf>
    <xf numFmtId="0" fontId="128" fillId="26" borderId="56" xfId="208" applyFont="1" applyFill="1" applyBorder="1" applyAlignment="1" applyProtection="1">
      <alignment horizontal="center" vertical="center" wrapText="1"/>
    </xf>
    <xf numFmtId="0" fontId="41" fillId="0" borderId="0" xfId="208" applyFont="1" applyBorder="1" applyAlignment="1">
      <alignment horizontal="center" vertical="center"/>
    </xf>
    <xf numFmtId="0" fontId="130" fillId="0" borderId="0" xfId="208" applyFont="1" applyBorder="1"/>
    <xf numFmtId="0" fontId="1" fillId="0" borderId="0" xfId="208" applyBorder="1"/>
    <xf numFmtId="0" fontId="128" fillId="26" borderId="56" xfId="208" applyFont="1" applyFill="1" applyBorder="1" applyAlignment="1">
      <alignment horizontal="center" vertical="center" wrapText="1"/>
    </xf>
    <xf numFmtId="0" fontId="1" fillId="0" borderId="0" xfId="208" applyBorder="1" applyAlignment="1">
      <alignment horizontal="center" vertical="center"/>
    </xf>
    <xf numFmtId="0" fontId="131" fillId="26" borderId="0" xfId="208" quotePrefix="1" applyFont="1" applyFill="1" applyBorder="1" applyAlignment="1" applyProtection="1">
      <alignment horizontal="center" vertical="center" wrapText="1"/>
    </xf>
    <xf numFmtId="0" fontId="129" fillId="0" borderId="0" xfId="208" quotePrefix="1" applyFont="1" applyBorder="1" applyAlignment="1" applyProtection="1">
      <alignment horizontal="center" vertical="center"/>
    </xf>
    <xf numFmtId="0" fontId="128" fillId="26" borderId="11" xfId="208" quotePrefix="1" applyFont="1" applyFill="1" applyBorder="1" applyAlignment="1">
      <alignment horizontal="center" vertical="center" wrapText="1"/>
    </xf>
    <xf numFmtId="0" fontId="129" fillId="0" borderId="10" xfId="208" quotePrefix="1" applyFont="1" applyBorder="1" applyAlignment="1" applyProtection="1">
      <alignment horizontal="center" vertical="center"/>
    </xf>
    <xf numFmtId="0" fontId="39" fillId="2" borderId="0" xfId="21" applyFont="1" applyFill="1" applyBorder="1" applyProtection="1">
      <protection locked="0"/>
    </xf>
    <xf numFmtId="0" fontId="9" fillId="2" borderId="0" xfId="21" applyFont="1" applyFill="1" applyBorder="1" applyAlignment="1" applyProtection="1">
      <alignment horizontal="center"/>
      <protection locked="0"/>
    </xf>
    <xf numFmtId="0" fontId="39" fillId="2" borderId="0" xfId="21" applyFont="1" applyFill="1" applyProtection="1">
      <protection locked="0"/>
    </xf>
    <xf numFmtId="0" fontId="11" fillId="2" borderId="0" xfId="21" applyFont="1" applyFill="1" applyBorder="1" applyAlignment="1" applyProtection="1">
      <alignment horizontal="center"/>
      <protection locked="0"/>
    </xf>
    <xf numFmtId="0" fontId="40" fillId="0" borderId="0" xfId="21" applyFont="1" applyProtection="1">
      <protection locked="0"/>
    </xf>
    <xf numFmtId="0" fontId="12" fillId="2" borderId="0" xfId="21" applyFont="1" applyFill="1" applyBorder="1" applyAlignment="1" applyProtection="1">
      <alignment horizontal="center"/>
      <protection locked="0"/>
    </xf>
    <xf numFmtId="0" fontId="13" fillId="0" borderId="0" xfId="21" applyFont="1" applyFill="1" applyBorder="1" applyAlignment="1" applyProtection="1">
      <alignment horizontal="center" vertical="center"/>
      <protection locked="0"/>
    </xf>
    <xf numFmtId="0" fontId="14" fillId="2" borderId="0" xfId="21" applyFont="1" applyFill="1" applyBorder="1" applyAlignment="1" applyProtection="1">
      <alignment horizontal="right"/>
      <protection locked="0"/>
    </xf>
    <xf numFmtId="0" fontId="15" fillId="2" borderId="0" xfId="21" applyFont="1" applyFill="1" applyProtection="1">
      <protection locked="0"/>
    </xf>
    <xf numFmtId="0" fontId="4" fillId="2" borderId="0" xfId="21" applyFont="1" applyFill="1" applyProtection="1">
      <protection locked="0"/>
    </xf>
    <xf numFmtId="0" fontId="42" fillId="2" borderId="0" xfId="21" applyFont="1" applyFill="1" applyProtection="1">
      <protection locked="0"/>
    </xf>
    <xf numFmtId="1" fontId="10" fillId="2" borderId="0" xfId="21" applyNumberFormat="1" applyFont="1" applyFill="1" applyBorder="1" applyAlignment="1" applyProtection="1">
      <alignment horizontal="center" vertical="center"/>
      <protection locked="0"/>
    </xf>
    <xf numFmtId="0" fontId="10" fillId="2" borderId="0" xfId="21" applyFont="1" applyFill="1" applyBorder="1" applyProtection="1">
      <protection locked="0"/>
    </xf>
    <xf numFmtId="0" fontId="1" fillId="2" borderId="19" xfId="21" applyFont="1" applyFill="1" applyBorder="1" applyProtection="1">
      <protection locked="0"/>
    </xf>
    <xf numFmtId="0" fontId="1" fillId="2" borderId="0" xfId="21" applyFont="1" applyFill="1" applyBorder="1" applyProtection="1">
      <protection locked="0"/>
    </xf>
    <xf numFmtId="0" fontId="1" fillId="2" borderId="0" xfId="21" applyFont="1" applyFill="1" applyBorder="1" applyAlignment="1" applyProtection="1">
      <protection locked="0"/>
    </xf>
    <xf numFmtId="0" fontId="1" fillId="2" borderId="18" xfId="21" applyFont="1" applyFill="1" applyBorder="1" applyProtection="1">
      <protection locked="0"/>
    </xf>
    <xf numFmtId="0" fontId="1" fillId="2" borderId="0" xfId="21" applyFill="1" applyBorder="1" applyProtection="1">
      <protection locked="0"/>
    </xf>
    <xf numFmtId="0" fontId="1" fillId="2" borderId="0" xfId="21" applyFill="1" applyAlignment="1" applyProtection="1">
      <protection locked="0"/>
    </xf>
    <xf numFmtId="2" fontId="1" fillId="2" borderId="0" xfId="21" applyNumberFormat="1" applyFont="1" applyFill="1" applyBorder="1" applyAlignment="1" applyProtection="1">
      <alignment horizontal="center" vertical="center"/>
      <protection locked="0"/>
    </xf>
    <xf numFmtId="0" fontId="1" fillId="2" borderId="0" xfId="21" applyFont="1" applyFill="1" applyBorder="1" applyAlignment="1" applyProtection="1">
      <alignment horizontal="center" vertical="center"/>
      <protection locked="0"/>
    </xf>
    <xf numFmtId="167" fontId="1" fillId="2" borderId="0" xfId="21" applyNumberFormat="1" applyFont="1" applyFill="1" applyBorder="1" applyAlignment="1" applyProtection="1">
      <alignment horizontal="center" vertical="center"/>
      <protection locked="0"/>
    </xf>
    <xf numFmtId="1" fontId="1" fillId="2" borderId="0" xfId="21" applyNumberFormat="1" applyFont="1" applyFill="1" applyBorder="1" applyAlignment="1" applyProtection="1">
      <alignment horizontal="center" vertical="center"/>
      <protection locked="0"/>
    </xf>
    <xf numFmtId="1" fontId="1" fillId="2" borderId="18" xfId="21" applyNumberFormat="1" applyFont="1" applyFill="1" applyBorder="1" applyAlignment="1" applyProtection="1">
      <alignment horizontal="center" vertical="center"/>
      <protection locked="0"/>
    </xf>
    <xf numFmtId="2" fontId="39" fillId="2" borderId="0" xfId="21" applyNumberFormat="1" applyFont="1" applyFill="1" applyProtection="1">
      <protection locked="0"/>
    </xf>
    <xf numFmtId="1" fontId="39" fillId="2" borderId="0" xfId="21" applyNumberFormat="1" applyFont="1" applyFill="1" applyProtection="1">
      <protection locked="0"/>
    </xf>
    <xf numFmtId="2" fontId="119" fillId="33" borderId="56" xfId="430" applyNumberFormat="1" applyFont="1" applyFill="1" applyBorder="1" applyAlignment="1" applyProtection="1">
      <alignment horizontal="center" vertical="center"/>
    </xf>
    <xf numFmtId="167" fontId="121" fillId="2" borderId="0" xfId="427" applyNumberFormat="1" applyFont="1" applyFill="1" applyAlignment="1" applyProtection="1">
      <alignment vertical="center"/>
    </xf>
    <xf numFmtId="0" fontId="121" fillId="2" borderId="0" xfId="427" applyFont="1" applyFill="1" applyAlignment="1" applyProtection="1">
      <alignment vertical="center"/>
    </xf>
    <xf numFmtId="10" fontId="121" fillId="2" borderId="0" xfId="432" applyNumberFormat="1" applyFont="1" applyFill="1" applyAlignment="1" applyProtection="1">
      <alignment vertical="center"/>
    </xf>
    <xf numFmtId="2" fontId="83" fillId="0" borderId="56" xfId="429" applyNumberFormat="1" applyFont="1" applyBorder="1" applyAlignment="1" applyProtection="1">
      <alignment horizontal="center" vertical="center"/>
    </xf>
    <xf numFmtId="167" fontId="83" fillId="0" borderId="56" xfId="429" applyNumberFormat="1" applyFont="1" applyBorder="1" applyAlignment="1" applyProtection="1">
      <alignment horizontal="center" vertical="center"/>
    </xf>
    <xf numFmtId="0" fontId="4" fillId="0" borderId="0" xfId="544" applyFont="1" applyProtection="1"/>
    <xf numFmtId="0" fontId="12" fillId="2" borderId="36" xfId="21" applyFont="1" applyFill="1" applyBorder="1" applyAlignment="1" applyProtection="1"/>
    <xf numFmtId="0" fontId="127" fillId="2" borderId="0" xfId="21" applyFont="1" applyFill="1" applyProtection="1"/>
    <xf numFmtId="0" fontId="127" fillId="2" borderId="0" xfId="21" applyFont="1" applyFill="1" applyBorder="1" applyAlignment="1" applyProtection="1">
      <alignment horizontal="center" vertical="center"/>
    </xf>
    <xf numFmtId="0" fontId="39" fillId="2" borderId="0" xfId="21" applyFont="1" applyFill="1" applyBorder="1" applyProtection="1"/>
    <xf numFmtId="0" fontId="127" fillId="2" borderId="0" xfId="21" applyFont="1" applyFill="1" applyBorder="1" applyAlignment="1" applyProtection="1">
      <alignment horizontal="center"/>
    </xf>
    <xf numFmtId="0" fontId="39" fillId="2" borderId="0" xfId="21" applyFont="1" applyFill="1" applyProtection="1"/>
    <xf numFmtId="0" fontId="124" fillId="0" borderId="56" xfId="429" applyNumberFormat="1" applyFont="1" applyBorder="1" applyAlignment="1" applyProtection="1">
      <alignment horizontal="center" vertical="center"/>
    </xf>
    <xf numFmtId="0" fontId="121" fillId="0" borderId="12" xfId="429" applyFont="1" applyBorder="1" applyAlignment="1" applyProtection="1">
      <alignment vertical="center"/>
    </xf>
    <xf numFmtId="0" fontId="83" fillId="0" borderId="0" xfId="429" applyFont="1" applyAlignment="1" applyProtection="1">
      <alignment vertical="center"/>
    </xf>
    <xf numFmtId="0" fontId="12" fillId="0" borderId="0" xfId="208" applyFont="1" applyBorder="1" applyAlignment="1" applyProtection="1">
      <alignment horizontal="center" vertical="center"/>
    </xf>
    <xf numFmtId="0" fontId="2" fillId="0" borderId="18" xfId="208" applyFont="1" applyBorder="1" applyAlignment="1" applyProtection="1">
      <alignment horizontal="center" vertical="center"/>
    </xf>
    <xf numFmtId="0" fontId="12" fillId="0" borderId="176" xfId="208" applyFont="1" applyBorder="1" applyAlignment="1" applyProtection="1">
      <alignment horizontal="center" vertical="center"/>
    </xf>
    <xf numFmtId="0" fontId="2" fillId="0" borderId="176" xfId="208" applyFont="1" applyBorder="1" applyAlignment="1" applyProtection="1">
      <alignment horizontal="center" vertical="center"/>
    </xf>
    <xf numFmtId="0" fontId="12" fillId="0" borderId="16" xfId="208" applyFont="1" applyBorder="1" applyAlignment="1" applyProtection="1">
      <alignment horizontal="center" vertical="center"/>
    </xf>
    <xf numFmtId="0" fontId="2" fillId="0" borderId="16" xfId="208" applyFont="1" applyBorder="1" applyAlignment="1" applyProtection="1">
      <alignment horizontal="center" vertical="center"/>
    </xf>
    <xf numFmtId="0" fontId="12" fillId="0" borderId="178" xfId="208" applyFont="1" applyBorder="1" applyAlignment="1" applyProtection="1">
      <alignment horizontal="center" vertical="center"/>
    </xf>
    <xf numFmtId="0" fontId="2" fillId="0" borderId="183" xfId="208" applyFont="1" applyBorder="1" applyAlignment="1" applyProtection="1">
      <alignment horizontal="center" vertical="center"/>
    </xf>
    <xf numFmtId="0" fontId="2" fillId="0" borderId="184" xfId="208" applyFont="1" applyBorder="1" applyAlignment="1" applyProtection="1">
      <alignment horizontal="center" vertical="center"/>
    </xf>
    <xf numFmtId="0" fontId="12" fillId="0" borderId="39" xfId="208" applyFont="1" applyBorder="1" applyAlignment="1" applyProtection="1">
      <alignment horizontal="center" vertical="center"/>
    </xf>
    <xf numFmtId="0" fontId="2" fillId="0" borderId="40" xfId="208" applyFont="1" applyBorder="1" applyAlignment="1" applyProtection="1">
      <alignment horizontal="center" vertical="center"/>
    </xf>
    <xf numFmtId="0" fontId="12" fillId="0" borderId="183" xfId="208" applyFont="1" applyBorder="1" applyAlignment="1" applyProtection="1">
      <alignment horizontal="center" vertical="center"/>
    </xf>
    <xf numFmtId="0" fontId="12" fillId="0" borderId="184" xfId="208" applyFont="1" applyBorder="1" applyAlignment="1" applyProtection="1">
      <alignment horizontal="center" vertical="center" wrapText="1"/>
    </xf>
    <xf numFmtId="0" fontId="12" fillId="0" borderId="184" xfId="208" applyFont="1" applyBorder="1" applyAlignment="1" applyProtection="1">
      <alignment horizontal="center" vertical="center"/>
    </xf>
    <xf numFmtId="0" fontId="2" fillId="0" borderId="186" xfId="208" applyFont="1" applyBorder="1" applyAlignment="1" applyProtection="1">
      <alignment horizontal="center" vertical="center"/>
    </xf>
    <xf numFmtId="0" fontId="12" fillId="0" borderId="187" xfId="208" applyFont="1" applyBorder="1" applyAlignment="1" applyProtection="1">
      <alignment horizontal="center" vertical="center"/>
    </xf>
    <xf numFmtId="0" fontId="4" fillId="0" borderId="36" xfId="208" applyFont="1" applyBorder="1" applyProtection="1"/>
    <xf numFmtId="0" fontId="5" fillId="0" borderId="37" xfId="208" applyFont="1" applyBorder="1" applyAlignment="1" applyProtection="1">
      <alignment horizontal="center" vertical="center"/>
    </xf>
    <xf numFmtId="0" fontId="4" fillId="0" borderId="38" xfId="208" applyFont="1" applyBorder="1" applyProtection="1"/>
    <xf numFmtId="0" fontId="5" fillId="0" borderId="40" xfId="208" applyFont="1" applyBorder="1" applyAlignment="1" applyProtection="1">
      <alignment horizontal="center" vertical="center"/>
    </xf>
    <xf numFmtId="0" fontId="2" fillId="0" borderId="36" xfId="208" applyFont="1" applyBorder="1" applyProtection="1"/>
    <xf numFmtId="0" fontId="4" fillId="0" borderId="37" xfId="208" applyFont="1" applyBorder="1" applyProtection="1"/>
    <xf numFmtId="0" fontId="2" fillId="0" borderId="38" xfId="208" applyFont="1" applyBorder="1" applyProtection="1"/>
    <xf numFmtId="0" fontId="4" fillId="0" borderId="40" xfId="208" applyFont="1" applyBorder="1" applyAlignment="1" applyProtection="1">
      <alignment horizontal="center"/>
    </xf>
    <xf numFmtId="0" fontId="115" fillId="25" borderId="66" xfId="208" applyFont="1" applyFill="1" applyBorder="1" applyAlignment="1" applyProtection="1">
      <alignment horizontal="center" vertical="center"/>
    </xf>
    <xf numFmtId="0" fontId="117" fillId="0" borderId="66" xfId="208" applyFont="1" applyFill="1" applyBorder="1" applyAlignment="1" applyProtection="1">
      <alignment horizontal="center"/>
    </xf>
    <xf numFmtId="167" fontId="117" fillId="0" borderId="66" xfId="208" applyNumberFormat="1" applyFont="1" applyFill="1" applyBorder="1" applyAlignment="1" applyProtection="1">
      <alignment horizontal="center"/>
    </xf>
    <xf numFmtId="0" fontId="117" fillId="0" borderId="32" xfId="208" applyFont="1" applyFill="1" applyBorder="1" applyAlignment="1" applyProtection="1">
      <alignment horizontal="center"/>
    </xf>
    <xf numFmtId="167" fontId="117" fillId="0" borderId="32" xfId="208" applyNumberFormat="1" applyFont="1" applyFill="1" applyBorder="1" applyAlignment="1" applyProtection="1">
      <alignment horizontal="center"/>
    </xf>
    <xf numFmtId="0" fontId="43" fillId="25" borderId="119" xfId="208" applyFont="1" applyFill="1" applyBorder="1" applyAlignment="1" applyProtection="1">
      <alignment vertical="center"/>
    </xf>
    <xf numFmtId="0" fontId="43" fillId="25" borderId="120" xfId="208" applyFont="1" applyFill="1" applyBorder="1" applyAlignment="1" applyProtection="1">
      <alignment vertical="center"/>
    </xf>
    <xf numFmtId="0" fontId="43" fillId="25" borderId="106" xfId="208" applyFont="1" applyFill="1" applyBorder="1" applyAlignment="1" applyProtection="1">
      <alignment horizontal="center" vertical="center"/>
    </xf>
    <xf numFmtId="2" fontId="2" fillId="0" borderId="180" xfId="208" applyNumberFormat="1" applyFont="1" applyBorder="1" applyAlignment="1" applyProtection="1">
      <alignment horizontal="center" vertical="center" wrapText="1"/>
    </xf>
    <xf numFmtId="2" fontId="2" fillId="0" borderId="190" xfId="208" applyNumberFormat="1" applyFont="1" applyBorder="1" applyAlignment="1" applyProtection="1">
      <alignment vertical="center" wrapText="1"/>
    </xf>
    <xf numFmtId="2" fontId="2" fillId="0" borderId="179" xfId="208" applyNumberFormat="1" applyFont="1" applyBorder="1" applyAlignment="1" applyProtection="1">
      <alignment vertical="center" wrapText="1"/>
    </xf>
    <xf numFmtId="2" fontId="2" fillId="0" borderId="181" xfId="208" applyNumberFormat="1" applyFont="1" applyBorder="1" applyAlignment="1" applyProtection="1">
      <alignment horizontal="center" vertical="center" wrapText="1"/>
    </xf>
    <xf numFmtId="1" fontId="12" fillId="0" borderId="172" xfId="208" applyNumberFormat="1" applyFont="1" applyBorder="1" applyAlignment="1" applyProtection="1">
      <alignment horizontal="center" vertical="center"/>
    </xf>
    <xf numFmtId="1" fontId="12" fillId="0" borderId="173" xfId="208" applyNumberFormat="1" applyFont="1" applyBorder="1" applyAlignment="1" applyProtection="1">
      <alignment vertical="center"/>
    </xf>
    <xf numFmtId="1" fontId="12" fillId="0" borderId="174" xfId="208" applyNumberFormat="1" applyFont="1" applyBorder="1" applyAlignment="1" applyProtection="1">
      <alignment vertical="center"/>
    </xf>
    <xf numFmtId="1" fontId="12" fillId="0" borderId="175" xfId="208" applyNumberFormat="1" applyFont="1" applyBorder="1" applyAlignment="1" applyProtection="1">
      <alignment horizontal="center" vertical="center"/>
    </xf>
    <xf numFmtId="1" fontId="12" fillId="0" borderId="182" xfId="208" applyNumberFormat="1" applyFont="1" applyBorder="1" applyAlignment="1" applyProtection="1">
      <alignment horizontal="center" vertical="center"/>
    </xf>
    <xf numFmtId="1" fontId="2" fillId="0" borderId="62" xfId="208" applyNumberFormat="1" applyFont="1" applyBorder="1" applyAlignment="1" applyProtection="1">
      <alignment horizontal="center" vertical="center"/>
    </xf>
    <xf numFmtId="1" fontId="2" fillId="0" borderId="192" xfId="208" applyNumberFormat="1" applyFont="1" applyBorder="1" applyAlignment="1" applyProtection="1">
      <alignment vertical="center"/>
    </xf>
    <xf numFmtId="1" fontId="2" fillId="0" borderId="193" xfId="208" applyNumberFormat="1" applyFont="1" applyBorder="1" applyAlignment="1" applyProtection="1">
      <alignment vertical="center"/>
    </xf>
    <xf numFmtId="1" fontId="2" fillId="0" borderId="77" xfId="208" applyNumberFormat="1" applyFont="1" applyBorder="1" applyAlignment="1" applyProtection="1">
      <alignment horizontal="center" vertical="center"/>
    </xf>
    <xf numFmtId="1" fontId="12" fillId="0" borderId="177" xfId="208" applyNumberFormat="1" applyFont="1" applyBorder="1" applyAlignment="1" applyProtection="1">
      <alignment horizontal="center" vertical="center"/>
    </xf>
    <xf numFmtId="1" fontId="12" fillId="0" borderId="190" xfId="208" applyNumberFormat="1" applyFont="1" applyBorder="1" applyAlignment="1" applyProtection="1">
      <alignment vertical="center"/>
    </xf>
    <xf numFmtId="1" fontId="12" fillId="0" borderId="185" xfId="208" applyNumberFormat="1" applyFont="1" applyBorder="1" applyAlignment="1" applyProtection="1">
      <alignment horizontal="center" vertical="center"/>
    </xf>
    <xf numFmtId="0" fontId="1" fillId="0" borderId="0" xfId="208" applyFont="1" applyProtection="1"/>
    <xf numFmtId="167" fontId="12" fillId="0" borderId="174" xfId="208" applyNumberFormat="1" applyFont="1" applyBorder="1" applyAlignment="1" applyProtection="1">
      <alignment horizontal="center" vertical="center" wrapText="1"/>
    </xf>
    <xf numFmtId="167" fontId="12" fillId="0" borderId="173" xfId="208" applyNumberFormat="1" applyFont="1" applyBorder="1" applyAlignment="1" applyProtection="1">
      <alignment vertical="center" wrapText="1"/>
    </xf>
    <xf numFmtId="167" fontId="12" fillId="0" borderId="182" xfId="208" applyNumberFormat="1" applyFont="1" applyBorder="1" applyAlignment="1" applyProtection="1">
      <alignment horizontal="center" vertical="center" wrapText="1"/>
    </xf>
    <xf numFmtId="167" fontId="12" fillId="39" borderId="174" xfId="208" applyNumberFormat="1" applyFont="1" applyFill="1" applyBorder="1" applyAlignment="1" applyProtection="1">
      <alignment horizontal="center" vertical="center"/>
    </xf>
    <xf numFmtId="167" fontId="12" fillId="39" borderId="173" xfId="208" applyNumberFormat="1" applyFont="1" applyFill="1" applyBorder="1" applyAlignment="1" applyProtection="1">
      <alignment vertical="center"/>
    </xf>
    <xf numFmtId="167" fontId="12" fillId="39" borderId="182" xfId="208" applyNumberFormat="1" applyFont="1" applyFill="1" applyBorder="1" applyAlignment="1" applyProtection="1">
      <alignment horizontal="center" vertical="center"/>
    </xf>
    <xf numFmtId="1" fontId="12" fillId="39" borderId="188" xfId="208" applyNumberFormat="1" applyFont="1" applyFill="1" applyBorder="1" applyAlignment="1" applyProtection="1">
      <alignment horizontal="center" vertical="center"/>
    </xf>
    <xf numFmtId="1" fontId="12" fillId="39" borderId="191" xfId="208" applyNumberFormat="1" applyFont="1" applyFill="1" applyBorder="1" applyAlignment="1" applyProtection="1">
      <alignment vertical="center"/>
    </xf>
    <xf numFmtId="1" fontId="12" fillId="39" borderId="189" xfId="208" applyNumberFormat="1" applyFont="1" applyFill="1" applyBorder="1" applyAlignment="1" applyProtection="1">
      <alignment horizontal="center" vertical="center"/>
    </xf>
    <xf numFmtId="167" fontId="133" fillId="33" borderId="56" xfId="430" applyNumberFormat="1" applyFont="1" applyFill="1" applyBorder="1" applyAlignment="1" applyProtection="1">
      <alignment horizontal="center" vertical="center"/>
    </xf>
    <xf numFmtId="167" fontId="133" fillId="26" borderId="56" xfId="430" applyNumberFormat="1" applyFont="1" applyFill="1" applyBorder="1" applyAlignment="1" applyProtection="1">
      <alignment horizontal="center" vertical="center"/>
      <protection locked="0"/>
    </xf>
    <xf numFmtId="173" fontId="134" fillId="0" borderId="56" xfId="429" applyNumberFormat="1" applyFont="1" applyBorder="1" applyAlignment="1" applyProtection="1">
      <alignment horizontal="center" vertical="center"/>
    </xf>
    <xf numFmtId="167" fontId="134" fillId="0" borderId="56" xfId="429" applyNumberFormat="1" applyFont="1" applyBorder="1" applyAlignment="1" applyProtection="1">
      <alignment horizontal="center" vertical="center"/>
    </xf>
    <xf numFmtId="167" fontId="134" fillId="0" borderId="56" xfId="429" applyNumberFormat="1" applyFont="1" applyBorder="1" applyAlignment="1" applyProtection="1">
      <alignment horizontal="center" vertical="center"/>
      <protection locked="0"/>
    </xf>
    <xf numFmtId="2" fontId="134" fillId="0" borderId="56" xfId="429" applyNumberFormat="1" applyFont="1" applyBorder="1" applyAlignment="1" applyProtection="1">
      <alignment horizontal="center" vertical="center"/>
    </xf>
    <xf numFmtId="167" fontId="135" fillId="0" borderId="56" xfId="429" applyNumberFormat="1" applyFont="1" applyBorder="1" applyAlignment="1" applyProtection="1">
      <alignment horizontal="center" vertical="center"/>
    </xf>
    <xf numFmtId="0" fontId="135" fillId="2" borderId="0" xfId="427" applyFont="1" applyFill="1" applyAlignment="1" applyProtection="1">
      <protection locked="0"/>
    </xf>
    <xf numFmtId="0" fontId="39" fillId="2" borderId="0" xfId="21" applyFont="1" applyFill="1" applyBorder="1" applyAlignment="1" applyProtection="1">
      <alignment vertical="center"/>
    </xf>
    <xf numFmtId="0" fontId="127" fillId="2" borderId="0" xfId="21" applyFont="1" applyFill="1" applyBorder="1" applyAlignment="1" applyProtection="1">
      <alignment vertical="center"/>
    </xf>
    <xf numFmtId="0" fontId="137" fillId="2" borderId="0" xfId="21" applyFont="1" applyFill="1" applyBorder="1" applyAlignment="1" applyProtection="1">
      <alignment horizontal="center" vertical="center"/>
    </xf>
    <xf numFmtId="167" fontId="127" fillId="2" borderId="0" xfId="21" applyNumberFormat="1" applyFont="1" applyFill="1" applyBorder="1" applyAlignment="1" applyProtection="1">
      <alignment horizontal="center" vertical="center"/>
    </xf>
    <xf numFmtId="1" fontId="127" fillId="2" borderId="0" xfId="21" applyNumberFormat="1" applyFont="1" applyFill="1" applyBorder="1" applyAlignment="1" applyProtection="1">
      <alignment horizontal="center" vertical="center"/>
    </xf>
    <xf numFmtId="1" fontId="127" fillId="2" borderId="0" xfId="21" quotePrefix="1" applyNumberFormat="1" applyFont="1" applyFill="1" applyBorder="1" applyAlignment="1" applyProtection="1">
      <alignment horizontal="center" vertical="center"/>
    </xf>
    <xf numFmtId="0" fontId="139" fillId="0" borderId="179" xfId="208" applyFont="1" applyBorder="1" applyAlignment="1" applyProtection="1">
      <alignment horizontal="center" vertical="center"/>
    </xf>
    <xf numFmtId="0" fontId="139" fillId="0" borderId="190" xfId="208" applyFont="1" applyBorder="1" applyAlignment="1" applyProtection="1">
      <alignment vertical="center"/>
    </xf>
    <xf numFmtId="0" fontId="139" fillId="0" borderId="179" xfId="208" applyFont="1" applyBorder="1" applyAlignment="1" applyProtection="1">
      <alignment vertical="center"/>
    </xf>
    <xf numFmtId="0" fontId="139" fillId="0" borderId="181" xfId="208" applyFont="1" applyBorder="1" applyAlignment="1" applyProtection="1">
      <alignment horizontal="center" vertical="center"/>
    </xf>
    <xf numFmtId="0" fontId="139" fillId="0" borderId="174" xfId="208" applyFont="1" applyBorder="1" applyAlignment="1" applyProtection="1">
      <alignment horizontal="center" vertical="center"/>
    </xf>
    <xf numFmtId="0" fontId="139" fillId="0" borderId="173" xfId="208" applyFont="1" applyBorder="1" applyAlignment="1" applyProtection="1">
      <alignment vertical="center"/>
    </xf>
    <xf numFmtId="0" fontId="139" fillId="0" borderId="174" xfId="208" applyFont="1" applyBorder="1" applyAlignment="1" applyProtection="1">
      <alignment vertical="center"/>
    </xf>
    <xf numFmtId="0" fontId="139" fillId="0" borderId="182" xfId="208" applyFont="1" applyBorder="1" applyAlignment="1" applyProtection="1">
      <alignment horizontal="center" vertical="center"/>
    </xf>
    <xf numFmtId="167" fontId="139" fillId="0" borderId="174" xfId="208" applyNumberFormat="1" applyFont="1" applyBorder="1" applyAlignment="1" applyProtection="1">
      <alignment horizontal="center" vertical="center"/>
    </xf>
    <xf numFmtId="167" fontId="139" fillId="0" borderId="173" xfId="208" applyNumberFormat="1" applyFont="1" applyBorder="1" applyAlignment="1" applyProtection="1">
      <alignment vertical="center"/>
    </xf>
    <xf numFmtId="167" fontId="139" fillId="0" borderId="174" xfId="208" applyNumberFormat="1" applyFont="1" applyBorder="1" applyAlignment="1" applyProtection="1">
      <alignment vertical="center"/>
    </xf>
    <xf numFmtId="167" fontId="139" fillId="0" borderId="182" xfId="208" applyNumberFormat="1" applyFont="1" applyBorder="1" applyAlignment="1" applyProtection="1">
      <alignment horizontal="center" vertical="center"/>
    </xf>
    <xf numFmtId="1" fontId="139" fillId="27" borderId="172" xfId="208" applyNumberFormat="1" applyFont="1" applyFill="1" applyBorder="1" applyAlignment="1" applyProtection="1">
      <alignment horizontal="center" vertical="center"/>
    </xf>
    <xf numFmtId="1" fontId="139" fillId="0" borderId="173" xfId="208" applyNumberFormat="1" applyFont="1" applyBorder="1" applyAlignment="1" applyProtection="1">
      <alignment vertical="center"/>
    </xf>
    <xf numFmtId="1" fontId="139" fillId="0" borderId="174" xfId="208" applyNumberFormat="1" applyFont="1" applyBorder="1" applyAlignment="1" applyProtection="1">
      <alignment vertical="center"/>
    </xf>
    <xf numFmtId="0" fontId="139" fillId="0" borderId="172" xfId="208" applyFont="1" applyBorder="1" applyAlignment="1" applyProtection="1">
      <alignment horizontal="center" vertical="center"/>
    </xf>
    <xf numFmtId="1" fontId="139" fillId="0" borderId="172" xfId="208" applyNumberFormat="1" applyFont="1" applyBorder="1" applyAlignment="1" applyProtection="1">
      <alignment horizontal="center" vertical="center"/>
    </xf>
    <xf numFmtId="167" fontId="139" fillId="0" borderId="122" xfId="208" applyNumberFormat="1" applyFont="1" applyBorder="1" applyAlignment="1" applyProtection="1">
      <alignment horizontal="center" vertical="center"/>
    </xf>
    <xf numFmtId="167" fontId="139" fillId="0" borderId="191" xfId="208" applyNumberFormat="1" applyFont="1" applyBorder="1" applyAlignment="1" applyProtection="1">
      <alignment vertical="center"/>
    </xf>
    <xf numFmtId="167" fontId="139" fillId="0" borderId="188" xfId="208" applyNumberFormat="1" applyFont="1" applyBorder="1" applyAlignment="1" applyProtection="1">
      <alignment vertical="center"/>
    </xf>
    <xf numFmtId="167" fontId="139" fillId="0" borderId="165" xfId="208" applyNumberFormat="1" applyFont="1" applyBorder="1" applyAlignment="1" applyProtection="1">
      <alignment horizontal="center" vertical="center"/>
    </xf>
    <xf numFmtId="0" fontId="2" fillId="0" borderId="0" xfId="208" applyFont="1" applyBorder="1" applyAlignment="1" applyProtection="1">
      <alignment horizontal="left" vertical="center"/>
    </xf>
    <xf numFmtId="0" fontId="2" fillId="0" borderId="39" xfId="208" applyFont="1" applyBorder="1" applyAlignment="1" applyProtection="1">
      <alignment horizontal="left" vertical="center"/>
    </xf>
    <xf numFmtId="0" fontId="119" fillId="0" borderId="11" xfId="429" applyFont="1" applyBorder="1" applyAlignment="1" applyProtection="1">
      <alignment vertical="center"/>
    </xf>
    <xf numFmtId="0" fontId="119" fillId="0" borderId="10" xfId="429" applyFont="1" applyBorder="1" applyAlignment="1" applyProtection="1">
      <alignment vertical="center"/>
    </xf>
    <xf numFmtId="0" fontId="119" fillId="0" borderId="9" xfId="429" applyFont="1" applyBorder="1" applyAlignment="1" applyProtection="1">
      <alignment vertical="center"/>
    </xf>
    <xf numFmtId="0" fontId="119" fillId="0" borderId="56" xfId="429" applyFont="1" applyBorder="1" applyAlignment="1" applyProtection="1">
      <alignment vertical="center"/>
    </xf>
    <xf numFmtId="0" fontId="2" fillId="0" borderId="178" xfId="208" applyFont="1" applyBorder="1" applyAlignment="1" applyProtection="1">
      <alignment horizontal="left" vertical="center"/>
    </xf>
    <xf numFmtId="0" fontId="2" fillId="0" borderId="176" xfId="208" applyFont="1" applyBorder="1" applyAlignment="1" applyProtection="1">
      <alignment horizontal="left" vertical="center"/>
    </xf>
    <xf numFmtId="0" fontId="2" fillId="0" borderId="178" xfId="208" applyFont="1" applyBorder="1" applyAlignment="1" applyProtection="1">
      <alignment horizontal="left" vertical="center" wrapText="1"/>
    </xf>
    <xf numFmtId="0" fontId="2" fillId="0" borderId="16" xfId="208" applyFont="1" applyBorder="1" applyAlignment="1" applyProtection="1">
      <alignment horizontal="left" vertical="center"/>
    </xf>
    <xf numFmtId="0" fontId="2" fillId="0" borderId="176" xfId="208" applyFont="1" applyBorder="1" applyAlignment="1" applyProtection="1">
      <alignment horizontal="left" vertical="center" wrapText="1"/>
    </xf>
    <xf numFmtId="0" fontId="2" fillId="0" borderId="186" xfId="208" applyFont="1" applyBorder="1" applyAlignment="1" applyProtection="1">
      <alignment horizontal="left" vertical="center"/>
    </xf>
    <xf numFmtId="0" fontId="1" fillId="0" borderId="0" xfId="21" applyFont="1" applyFill="1" applyAlignment="1" applyProtection="1">
      <alignment vertical="center"/>
    </xf>
    <xf numFmtId="0" fontId="1" fillId="0" borderId="0" xfId="208" applyProtection="1"/>
    <xf numFmtId="0" fontId="4" fillId="0" borderId="0" xfId="208" applyFont="1" applyBorder="1" applyAlignment="1" applyProtection="1">
      <alignment horizontal="left"/>
    </xf>
    <xf numFmtId="0" fontId="4" fillId="0" borderId="0" xfId="208" applyFont="1" applyBorder="1" applyProtection="1"/>
    <xf numFmtId="0" fontId="5" fillId="0" borderId="0" xfId="208" applyFont="1" applyBorder="1" applyAlignment="1" applyProtection="1">
      <alignment vertical="center" wrapText="1"/>
    </xf>
    <xf numFmtId="0" fontId="4" fillId="0" borderId="17" xfId="208" applyFont="1" applyBorder="1" applyAlignment="1" applyProtection="1">
      <alignment horizontal="center"/>
    </xf>
    <xf numFmtId="0" fontId="4" fillId="0" borderId="18" xfId="208" applyFont="1" applyBorder="1" applyProtection="1"/>
    <xf numFmtId="0" fontId="5" fillId="0" borderId="0" xfId="208" applyFont="1" applyFill="1" applyBorder="1" applyAlignment="1" applyProtection="1">
      <alignment horizontal="center" vertical="center" wrapText="1"/>
    </xf>
    <xf numFmtId="0" fontId="4" fillId="0" borderId="0" xfId="208" applyFont="1" applyFill="1" applyBorder="1" applyAlignment="1" applyProtection="1">
      <alignment horizontal="center"/>
    </xf>
    <xf numFmtId="0" fontId="4" fillId="0" borderId="0" xfId="208" applyFont="1" applyFill="1" applyBorder="1" applyAlignment="1" applyProtection="1"/>
    <xf numFmtId="0" fontId="4" fillId="2" borderId="35" xfId="150" applyFont="1" applyFill="1" applyBorder="1" applyAlignment="1" applyProtection="1">
      <alignment horizontal="center" vertical="center"/>
    </xf>
    <xf numFmtId="0" fontId="1" fillId="0" borderId="36" xfId="429" applyFont="1" applyBorder="1" applyProtection="1"/>
    <xf numFmtId="0" fontId="3" fillId="2" borderId="37" xfId="427" applyFont="1" applyFill="1" applyBorder="1" applyAlignment="1" applyProtection="1">
      <alignment horizontal="center" vertical="center"/>
    </xf>
    <xf numFmtId="0" fontId="1" fillId="0" borderId="37" xfId="429" applyFont="1" applyBorder="1" applyProtection="1"/>
    <xf numFmtId="0" fontId="1" fillId="0" borderId="36" xfId="429" applyFont="1" applyBorder="1" applyAlignment="1" applyProtection="1">
      <alignment vertical="center"/>
    </xf>
    <xf numFmtId="0" fontId="1" fillId="0" borderId="37" xfId="429" applyFont="1" applyBorder="1" applyAlignment="1" applyProtection="1">
      <alignment vertical="center"/>
    </xf>
    <xf numFmtId="0" fontId="4" fillId="0" borderId="0" xfId="429" applyFont="1" applyBorder="1" applyProtection="1"/>
    <xf numFmtId="173" fontId="4" fillId="26" borderId="0" xfId="429" applyNumberFormat="1" applyFont="1" applyFill="1" applyBorder="1" applyAlignment="1" applyProtection="1">
      <alignment horizontal="center" vertical="center"/>
    </xf>
    <xf numFmtId="0" fontId="4" fillId="0" borderId="37" xfId="429" applyFont="1" applyFill="1" applyBorder="1" applyAlignment="1" applyProtection="1">
      <alignment vertical="center"/>
    </xf>
    <xf numFmtId="173" fontId="4" fillId="0" borderId="0" xfId="429" applyNumberFormat="1" applyFont="1" applyFill="1" applyBorder="1" applyAlignment="1" applyProtection="1">
      <alignment horizontal="center" vertical="center"/>
    </xf>
    <xf numFmtId="173" fontId="4" fillId="0" borderId="37" xfId="429" applyNumberFormat="1" applyFont="1" applyFill="1" applyBorder="1" applyAlignment="1" applyProtection="1">
      <alignment horizontal="center" vertical="center"/>
    </xf>
    <xf numFmtId="0" fontId="100" fillId="0" borderId="0" xfId="429" applyFont="1" applyAlignment="1" applyProtection="1">
      <alignment vertical="center"/>
    </xf>
    <xf numFmtId="0" fontId="100" fillId="0" borderId="0" xfId="429" applyFont="1" applyProtection="1"/>
    <xf numFmtId="167" fontId="4" fillId="2" borderId="0" xfId="429" applyNumberFormat="1" applyFont="1" applyFill="1" applyBorder="1" applyAlignment="1" applyProtection="1">
      <alignment horizontal="center" vertical="center"/>
    </xf>
    <xf numFmtId="0" fontId="4" fillId="0" borderId="37" xfId="429" applyFont="1" applyFill="1" applyBorder="1" applyAlignment="1" applyProtection="1">
      <alignment horizontal="center" vertical="center"/>
    </xf>
    <xf numFmtId="0" fontId="4" fillId="2" borderId="0" xfId="429" applyFont="1" applyFill="1" applyBorder="1" applyAlignment="1" applyProtection="1">
      <alignment horizontal="left" vertical="center" indent="2"/>
    </xf>
    <xf numFmtId="188" fontId="5" fillId="0" borderId="37" xfId="429" applyNumberFormat="1" applyFont="1" applyFill="1" applyBorder="1" applyAlignment="1" applyProtection="1">
      <alignment horizontal="center" vertical="center"/>
    </xf>
    <xf numFmtId="0" fontId="4" fillId="2" borderId="0" xfId="429" applyFont="1" applyFill="1" applyBorder="1" applyAlignment="1" applyProtection="1">
      <alignment vertical="center"/>
    </xf>
    <xf numFmtId="167" fontId="4" fillId="0" borderId="37" xfId="429" applyNumberFormat="1" applyFont="1" applyFill="1" applyBorder="1" applyAlignment="1" applyProtection="1">
      <alignment horizontal="center" vertical="center"/>
    </xf>
    <xf numFmtId="0" fontId="4" fillId="2" borderId="0" xfId="429" applyFont="1" applyFill="1" applyBorder="1" applyAlignment="1" applyProtection="1">
      <alignment horizontal="center" vertical="center"/>
    </xf>
    <xf numFmtId="0" fontId="1" fillId="0" borderId="38" xfId="429" applyFont="1" applyBorder="1" applyProtection="1"/>
    <xf numFmtId="0" fontId="2" fillId="2" borderId="39" xfId="429" applyFont="1" applyFill="1" applyBorder="1" applyAlignment="1" applyProtection="1">
      <alignment vertical="center"/>
    </xf>
    <xf numFmtId="0" fontId="1" fillId="2" borderId="39" xfId="429" applyFont="1" applyFill="1" applyBorder="1" applyAlignment="1" applyProtection="1">
      <alignment vertical="center"/>
    </xf>
    <xf numFmtId="167" fontId="2" fillId="2" borderId="39" xfId="429" applyNumberFormat="1" applyFont="1" applyFill="1" applyBorder="1" applyAlignment="1" applyProtection="1">
      <alignment horizontal="center" vertical="center"/>
    </xf>
    <xf numFmtId="167" fontId="2" fillId="0" borderId="39" xfId="429" applyNumberFormat="1" applyFont="1" applyFill="1" applyBorder="1" applyAlignment="1" applyProtection="1">
      <alignment horizontal="center" vertical="center"/>
    </xf>
    <xf numFmtId="167" fontId="2" fillId="0" borderId="40" xfId="429" applyNumberFormat="1" applyFont="1" applyFill="1" applyBorder="1" applyAlignment="1" applyProtection="1">
      <alignment horizontal="center" vertical="center"/>
    </xf>
    <xf numFmtId="0" fontId="5" fillId="26" borderId="0" xfId="68" applyFont="1" applyFill="1" applyBorder="1" applyAlignment="1" applyProtection="1">
      <alignment vertical="center"/>
    </xf>
    <xf numFmtId="0" fontId="5" fillId="26" borderId="18" xfId="68" applyFont="1" applyFill="1" applyBorder="1" applyAlignment="1" applyProtection="1">
      <alignment vertical="center"/>
    </xf>
    <xf numFmtId="0" fontId="83" fillId="2" borderId="0" xfId="427" applyFont="1" applyFill="1" applyAlignment="1" applyProtection="1"/>
    <xf numFmtId="0" fontId="83" fillId="2" borderId="0" xfId="427" applyFont="1" applyFill="1" applyAlignment="1" applyProtection="1">
      <alignment vertical="center"/>
    </xf>
    <xf numFmtId="0" fontId="83" fillId="2" borderId="56" xfId="427" applyFont="1" applyFill="1" applyBorder="1" applyAlignment="1" applyProtection="1">
      <alignment horizontal="center" vertical="center"/>
    </xf>
    <xf numFmtId="0" fontId="83" fillId="2" borderId="0" xfId="427" applyFont="1" applyFill="1" applyProtection="1"/>
    <xf numFmtId="0" fontId="83" fillId="2" borderId="0" xfId="427" applyFont="1" applyFill="1" applyAlignment="1" applyProtection="1">
      <alignment wrapText="1"/>
    </xf>
    <xf numFmtId="167" fontId="121" fillId="0" borderId="0" xfId="429" applyNumberFormat="1" applyFont="1" applyBorder="1" applyAlignment="1" applyProtection="1">
      <alignment vertical="center"/>
    </xf>
    <xf numFmtId="0" fontId="121" fillId="0" borderId="0" xfId="429" applyFont="1" applyAlignment="1" applyProtection="1">
      <alignment vertical="center"/>
    </xf>
    <xf numFmtId="0" fontId="2" fillId="26" borderId="12" xfId="208" applyFont="1" applyFill="1" applyBorder="1" applyProtection="1"/>
    <xf numFmtId="0" fontId="5" fillId="25" borderId="29" xfId="208" applyFont="1" applyFill="1" applyBorder="1" applyProtection="1"/>
    <xf numFmtId="0" fontId="5" fillId="25" borderId="61" xfId="208" applyFont="1" applyFill="1" applyBorder="1" applyProtection="1"/>
    <xf numFmtId="0" fontId="4" fillId="0" borderId="0" xfId="68" applyFont="1" applyBorder="1" applyAlignment="1" applyProtection="1"/>
    <xf numFmtId="0" fontId="4" fillId="0" borderId="0" xfId="68" applyFont="1" applyBorder="1" applyProtection="1"/>
    <xf numFmtId="0" fontId="4" fillId="0" borderId="37" xfId="68" applyFont="1" applyBorder="1" applyAlignment="1" applyProtection="1">
      <alignment horizontal="center"/>
    </xf>
    <xf numFmtId="0" fontId="1" fillId="0" borderId="0" xfId="208" applyFill="1" applyBorder="1" applyAlignment="1" applyProtection="1">
      <alignment vertical="center" wrapText="1"/>
    </xf>
    <xf numFmtId="0" fontId="1" fillId="0" borderId="0" xfId="208" applyFill="1" applyProtection="1"/>
    <xf numFmtId="0" fontId="1" fillId="31" borderId="0" xfId="208" applyFill="1" applyProtection="1"/>
    <xf numFmtId="0" fontId="84" fillId="2" borderId="0" xfId="208" applyFont="1" applyFill="1" applyProtection="1"/>
    <xf numFmtId="0" fontId="1" fillId="0" borderId="0" xfId="208" applyFill="1" applyBorder="1" applyProtection="1"/>
    <xf numFmtId="0" fontId="1" fillId="31" borderId="0" xfId="208" applyFill="1" applyBorder="1" applyProtection="1"/>
    <xf numFmtId="0" fontId="85" fillId="2" borderId="85" xfId="208" applyFont="1" applyFill="1" applyBorder="1" applyAlignment="1" applyProtection="1">
      <alignment horizontal="center" vertical="center" wrapText="1"/>
    </xf>
    <xf numFmtId="0" fontId="85" fillId="2" borderId="86" xfId="208" applyFont="1" applyFill="1" applyBorder="1" applyAlignment="1" applyProtection="1">
      <alignment horizontal="center" vertical="center" wrapText="1"/>
    </xf>
    <xf numFmtId="1" fontId="86" fillId="2" borderId="89" xfId="208" applyNumberFormat="1" applyFont="1" applyFill="1" applyBorder="1" applyAlignment="1" applyProtection="1">
      <alignment horizontal="center"/>
    </xf>
    <xf numFmtId="167" fontId="86" fillId="2" borderId="90" xfId="208" applyNumberFormat="1" applyFont="1" applyFill="1" applyBorder="1" applyAlignment="1" applyProtection="1">
      <alignment horizontal="center"/>
    </xf>
    <xf numFmtId="1" fontId="86" fillId="2" borderId="87" xfId="208" applyNumberFormat="1" applyFont="1" applyFill="1" applyBorder="1" applyAlignment="1" applyProtection="1">
      <alignment horizontal="center"/>
    </xf>
    <xf numFmtId="167" fontId="86" fillId="2" borderId="88" xfId="208" applyNumberFormat="1" applyFont="1" applyFill="1" applyBorder="1" applyAlignment="1" applyProtection="1">
      <alignment horizontal="center"/>
    </xf>
    <xf numFmtId="1" fontId="86" fillId="2" borderId="85" xfId="208" applyNumberFormat="1" applyFont="1" applyFill="1" applyBorder="1" applyAlignment="1" applyProtection="1">
      <alignment horizontal="center"/>
    </xf>
    <xf numFmtId="167" fontId="86" fillId="2" borderId="86" xfId="208" applyNumberFormat="1" applyFont="1" applyFill="1" applyBorder="1" applyAlignment="1" applyProtection="1">
      <alignment horizontal="center"/>
    </xf>
    <xf numFmtId="0" fontId="84" fillId="2" borderId="0" xfId="208" applyFont="1" applyFill="1" applyBorder="1" applyAlignment="1" applyProtection="1">
      <alignment horizontal="center"/>
    </xf>
    <xf numFmtId="0" fontId="84" fillId="2" borderId="91" xfId="208" applyFont="1" applyFill="1" applyBorder="1" applyAlignment="1" applyProtection="1">
      <alignment horizontal="center"/>
    </xf>
    <xf numFmtId="1" fontId="84" fillId="2" borderId="91" xfId="208" applyNumberFormat="1" applyFont="1" applyFill="1" applyBorder="1" applyAlignment="1" applyProtection="1">
      <alignment horizontal="center"/>
    </xf>
    <xf numFmtId="0" fontId="84" fillId="2" borderId="0" xfId="208" applyFont="1" applyFill="1" applyAlignment="1" applyProtection="1">
      <alignment horizontal="center"/>
    </xf>
    <xf numFmtId="0" fontId="2" fillId="2" borderId="0" xfId="208" applyFont="1" applyFill="1" applyAlignment="1" applyProtection="1"/>
    <xf numFmtId="0" fontId="82" fillId="34" borderId="103" xfId="208" applyFont="1" applyFill="1" applyBorder="1" applyAlignment="1" applyProtection="1">
      <alignment horizontal="center"/>
    </xf>
    <xf numFmtId="0" fontId="82" fillId="34" borderId="104" xfId="208" applyFont="1" applyFill="1" applyBorder="1" applyAlignment="1" applyProtection="1">
      <alignment horizontal="center"/>
    </xf>
    <xf numFmtId="0" fontId="90" fillId="34" borderId="98" xfId="208" applyFont="1" applyFill="1" applyBorder="1" applyAlignment="1" applyProtection="1">
      <alignment horizontal="center"/>
    </xf>
    <xf numFmtId="1" fontId="90" fillId="34" borderId="99" xfId="208" applyNumberFormat="1" applyFont="1" applyFill="1" applyBorder="1" applyAlignment="1" applyProtection="1">
      <alignment horizontal="center"/>
    </xf>
    <xf numFmtId="173" fontId="84" fillId="2" borderId="0" xfId="208" applyNumberFormat="1" applyFont="1" applyFill="1" applyProtection="1"/>
    <xf numFmtId="0" fontId="90" fillId="34" borderId="101" xfId="208" applyFont="1" applyFill="1" applyBorder="1" applyAlignment="1" applyProtection="1">
      <alignment horizontal="center"/>
    </xf>
    <xf numFmtId="1" fontId="90" fillId="34" borderId="0" xfId="208" applyNumberFormat="1" applyFont="1" applyFill="1" applyBorder="1" applyAlignment="1" applyProtection="1">
      <alignment horizontal="center"/>
    </xf>
    <xf numFmtId="0" fontId="90" fillId="34" borderId="103" xfId="208" applyFont="1" applyFill="1" applyBorder="1" applyAlignment="1" applyProtection="1">
      <alignment horizontal="center"/>
    </xf>
    <xf numFmtId="1" fontId="90" fillId="34" borderId="104" xfId="208" applyNumberFormat="1" applyFont="1" applyFill="1" applyBorder="1" applyAlignment="1" applyProtection="1">
      <alignment horizontal="center"/>
    </xf>
    <xf numFmtId="0" fontId="91" fillId="2" borderId="0" xfId="208" applyFont="1" applyFill="1" applyProtection="1"/>
    <xf numFmtId="0" fontId="64" fillId="2" borderId="0" xfId="208" applyFont="1" applyFill="1" applyProtection="1"/>
    <xf numFmtId="0" fontId="91" fillId="0" borderId="0" xfId="208" applyFont="1" applyProtection="1"/>
    <xf numFmtId="168" fontId="2" fillId="26" borderId="73" xfId="71" applyNumberFormat="1" applyFont="1" applyFill="1" applyBorder="1" applyAlignment="1" applyProtection="1">
      <alignment horizontal="left" vertical="center"/>
    </xf>
    <xf numFmtId="0" fontId="1" fillId="0" borderId="0" xfId="208" applyFont="1" applyBorder="1" applyProtection="1"/>
    <xf numFmtId="0" fontId="1" fillId="0" borderId="34" xfId="208" applyFont="1" applyBorder="1" applyProtection="1"/>
    <xf numFmtId="0" fontId="1" fillId="0" borderId="35" xfId="208" applyFont="1" applyBorder="1" applyProtection="1"/>
    <xf numFmtId="0" fontId="1" fillId="0" borderId="37" xfId="208" applyFont="1" applyBorder="1" applyProtection="1"/>
    <xf numFmtId="0" fontId="5" fillId="0" borderId="0" xfId="208" applyFont="1" applyBorder="1" applyProtection="1"/>
    <xf numFmtId="0" fontId="5" fillId="0" borderId="37" xfId="208" applyFont="1" applyBorder="1" applyProtection="1"/>
    <xf numFmtId="0" fontId="1" fillId="0" borderId="0" xfId="208" applyFont="1" applyFill="1" applyBorder="1" applyProtection="1"/>
    <xf numFmtId="0" fontId="1" fillId="0" borderId="16" xfId="208" applyFont="1" applyFill="1" applyBorder="1" applyProtection="1"/>
    <xf numFmtId="0" fontId="1" fillId="0" borderId="16" xfId="208" applyFont="1" applyBorder="1" applyProtection="1"/>
    <xf numFmtId="0" fontId="1" fillId="0" borderId="73" xfId="208" applyFont="1" applyBorder="1" applyProtection="1"/>
    <xf numFmtId="0" fontId="5" fillId="25" borderId="79" xfId="208" applyFont="1" applyFill="1" applyBorder="1" applyAlignment="1" applyProtection="1">
      <alignment horizontal="left" indent="2"/>
    </xf>
    <xf numFmtId="0" fontId="3" fillId="25" borderId="0" xfId="208" applyFont="1" applyFill="1" applyBorder="1" applyAlignment="1" applyProtection="1">
      <alignment horizontal="left" indent="2"/>
    </xf>
    <xf numFmtId="0" fontId="2" fillId="0" borderId="36" xfId="68" applyFont="1" applyBorder="1" applyAlignment="1" applyProtection="1"/>
    <xf numFmtId="0" fontId="44" fillId="0" borderId="0" xfId="68" applyFont="1" applyBorder="1" applyProtection="1"/>
    <xf numFmtId="0" fontId="2" fillId="0" borderId="0" xfId="68" applyFont="1" applyBorder="1" applyAlignment="1" applyProtection="1"/>
    <xf numFmtId="0" fontId="44" fillId="0" borderId="36" xfId="68" applyFont="1" applyBorder="1" applyProtection="1"/>
    <xf numFmtId="0" fontId="2" fillId="0" borderId="37" xfId="68" applyFont="1" applyBorder="1" applyAlignment="1" applyProtection="1">
      <alignment horizontal="center"/>
    </xf>
    <xf numFmtId="0" fontId="1" fillId="0" borderId="0" xfId="208" applyFill="1" applyBorder="1" applyAlignment="1" applyProtection="1">
      <alignment vertical="top"/>
    </xf>
    <xf numFmtId="0" fontId="1" fillId="0" borderId="0" xfId="208" applyFill="1" applyBorder="1" applyAlignment="1" applyProtection="1">
      <alignment vertical="center"/>
    </xf>
    <xf numFmtId="0" fontId="1" fillId="0" borderId="0" xfId="208" applyFill="1" applyBorder="1" applyAlignment="1" applyProtection="1">
      <alignment vertical="top" wrapText="1"/>
    </xf>
    <xf numFmtId="0" fontId="8" fillId="32" borderId="11" xfId="208" applyFont="1" applyFill="1" applyBorder="1" applyAlignment="1" applyProtection="1">
      <alignment horizontal="left" vertical="center"/>
    </xf>
    <xf numFmtId="0" fontId="1" fillId="32" borderId="10" xfId="208" applyFill="1" applyBorder="1" applyAlignment="1" applyProtection="1">
      <alignment horizontal="center" vertical="center" wrapText="1"/>
    </xf>
    <xf numFmtId="0" fontId="77" fillId="0" borderId="6" xfId="208" applyFont="1" applyBorder="1" applyAlignment="1" applyProtection="1">
      <alignment horizontal="left" vertical="center"/>
    </xf>
    <xf numFmtId="0" fontId="4" fillId="0" borderId="5" xfId="208" applyFont="1" applyBorder="1" applyAlignment="1" applyProtection="1">
      <alignment horizontal="center" vertical="center" wrapText="1"/>
    </xf>
    <xf numFmtId="0" fontId="1" fillId="0" borderId="5" xfId="208" applyBorder="1" applyAlignment="1" applyProtection="1">
      <alignment horizontal="center" vertical="center" wrapText="1"/>
    </xf>
    <xf numFmtId="0" fontId="77" fillId="0" borderId="1" xfId="208" applyFont="1" applyBorder="1" applyAlignment="1" applyProtection="1">
      <alignment horizontal="left" vertical="center"/>
    </xf>
    <xf numFmtId="0" fontId="77" fillId="0" borderId="75" xfId="208" applyFont="1" applyBorder="1" applyAlignment="1" applyProtection="1">
      <alignment horizontal="left" vertical="center"/>
    </xf>
    <xf numFmtId="0" fontId="4" fillId="0" borderId="3" xfId="208" applyFont="1" applyBorder="1" applyAlignment="1" applyProtection="1">
      <alignment horizontal="center" vertical="center" wrapText="1"/>
    </xf>
    <xf numFmtId="0" fontId="1" fillId="0" borderId="3" xfId="208" applyBorder="1" applyAlignment="1" applyProtection="1">
      <alignment horizontal="center" vertical="center" wrapText="1"/>
    </xf>
    <xf numFmtId="0" fontId="77" fillId="0" borderId="15" xfId="208" applyFont="1" applyBorder="1" applyAlignment="1" applyProtection="1">
      <alignment horizontal="left" vertical="center"/>
    </xf>
    <xf numFmtId="0" fontId="77" fillId="0" borderId="16" xfId="208" applyFont="1" applyBorder="1" applyAlignment="1" applyProtection="1">
      <alignment horizontal="left" vertical="center"/>
    </xf>
    <xf numFmtId="0" fontId="4" fillId="0" borderId="16" xfId="208" applyFont="1" applyBorder="1" applyAlignment="1" applyProtection="1">
      <alignment horizontal="center" vertical="center" wrapText="1"/>
    </xf>
    <xf numFmtId="0" fontId="1" fillId="0" borderId="16" xfId="208" applyBorder="1" applyAlignment="1" applyProtection="1">
      <alignment horizontal="center" vertical="center" wrapText="1"/>
    </xf>
    <xf numFmtId="0" fontId="1" fillId="0" borderId="16" xfId="208" applyBorder="1" applyAlignment="1" applyProtection="1">
      <alignment horizontal="right" vertical="center" wrapText="1"/>
    </xf>
    <xf numFmtId="0" fontId="1" fillId="29" borderId="12" xfId="208" applyFill="1" applyBorder="1" applyAlignment="1" applyProtection="1">
      <alignment horizontal="center" vertical="center" wrapText="1"/>
    </xf>
    <xf numFmtId="0" fontId="1" fillId="0" borderId="15" xfId="208" applyFont="1" applyBorder="1" applyAlignment="1" applyProtection="1">
      <alignment horizontal="left" vertical="center"/>
    </xf>
    <xf numFmtId="0" fontId="1" fillId="0" borderId="16" xfId="208" applyBorder="1" applyAlignment="1" applyProtection="1">
      <alignment horizontal="center"/>
    </xf>
    <xf numFmtId="0" fontId="1" fillId="0" borderId="16" xfId="208" applyFill="1" applyBorder="1" applyProtection="1"/>
    <xf numFmtId="0" fontId="1" fillId="0" borderId="16" xfId="208" applyFill="1" applyBorder="1" applyAlignment="1" applyProtection="1">
      <alignment horizontal="right"/>
    </xf>
    <xf numFmtId="0" fontId="1" fillId="0" borderId="6" xfId="208" applyFont="1" applyBorder="1" applyAlignment="1" applyProtection="1">
      <alignment horizontal="left" vertical="center"/>
    </xf>
    <xf numFmtId="0" fontId="4" fillId="0" borderId="5" xfId="208" applyFont="1" applyBorder="1" applyAlignment="1" applyProtection="1">
      <alignment horizontal="center"/>
    </xf>
    <xf numFmtId="0" fontId="4" fillId="0" borderId="5" xfId="208" applyFont="1" applyFill="1" applyBorder="1" applyProtection="1"/>
    <xf numFmtId="0" fontId="1" fillId="0" borderId="5" xfId="208" applyFont="1" applyFill="1" applyBorder="1" applyAlignment="1" applyProtection="1">
      <alignment horizontal="right"/>
    </xf>
    <xf numFmtId="0" fontId="1" fillId="0" borderId="1" xfId="208" applyFont="1" applyBorder="1" applyAlignment="1" applyProtection="1">
      <alignment horizontal="left" vertical="center"/>
    </xf>
    <xf numFmtId="0" fontId="4" fillId="0" borderId="3" xfId="208" applyFont="1" applyBorder="1" applyAlignment="1" applyProtection="1">
      <alignment horizontal="center"/>
    </xf>
    <xf numFmtId="0" fontId="4" fillId="0" borderId="3" xfId="208" applyFont="1" applyFill="1" applyBorder="1" applyProtection="1"/>
    <xf numFmtId="0" fontId="1" fillId="0" borderId="3" xfId="208" applyFont="1" applyFill="1" applyBorder="1" applyAlignment="1" applyProtection="1">
      <alignment horizontal="right"/>
    </xf>
    <xf numFmtId="0" fontId="1" fillId="0" borderId="19" xfId="208" applyFont="1" applyFill="1" applyBorder="1" applyAlignment="1" applyProtection="1">
      <alignment horizontal="left" vertical="center"/>
    </xf>
    <xf numFmtId="0" fontId="1" fillId="0" borderId="0" xfId="208" applyFont="1" applyFill="1" applyBorder="1" applyAlignment="1" applyProtection="1"/>
    <xf numFmtId="0" fontId="1" fillId="0" borderId="0" xfId="208" applyFill="1" applyBorder="1" applyAlignment="1" applyProtection="1"/>
    <xf numFmtId="0" fontId="1" fillId="0" borderId="0" xfId="208" applyBorder="1" applyAlignment="1" applyProtection="1">
      <alignment vertical="center" wrapText="1"/>
    </xf>
    <xf numFmtId="0" fontId="4" fillId="0" borderId="0" xfId="208" applyFont="1" applyFill="1" applyBorder="1" applyAlignment="1" applyProtection="1">
      <alignment horizontal="right"/>
    </xf>
    <xf numFmtId="0" fontId="1" fillId="0" borderId="53" xfId="208" applyFont="1" applyFill="1" applyBorder="1" applyAlignment="1" applyProtection="1">
      <alignment horizontal="left" vertical="center"/>
    </xf>
    <xf numFmtId="0" fontId="4" fillId="0" borderId="64" xfId="208" applyFont="1" applyFill="1" applyBorder="1" applyAlignment="1" applyProtection="1">
      <alignment horizontal="right"/>
    </xf>
    <xf numFmtId="0" fontId="1" fillId="0" borderId="48" xfId="208" applyFont="1" applyBorder="1" applyAlignment="1" applyProtection="1">
      <alignment horizontal="left" vertical="center"/>
    </xf>
    <xf numFmtId="0" fontId="1" fillId="0" borderId="49" xfId="208" applyBorder="1" applyProtection="1"/>
    <xf numFmtId="0" fontId="4" fillId="0" borderId="49" xfId="208" applyFont="1" applyBorder="1" applyAlignment="1" applyProtection="1">
      <alignment horizontal="center"/>
    </xf>
    <xf numFmtId="0" fontId="4" fillId="0" borderId="49" xfId="208" applyFont="1" applyFill="1" applyBorder="1" applyProtection="1"/>
    <xf numFmtId="0" fontId="1" fillId="0" borderId="49" xfId="208" applyFont="1" applyFill="1" applyBorder="1" applyAlignment="1" applyProtection="1">
      <alignment horizontal="right"/>
    </xf>
    <xf numFmtId="0" fontId="1" fillId="0" borderId="5" xfId="208" applyBorder="1" applyProtection="1"/>
    <xf numFmtId="0" fontId="1" fillId="0" borderId="16" xfId="208" applyBorder="1" applyProtection="1"/>
    <xf numFmtId="0" fontId="4" fillId="0" borderId="16" xfId="208" applyFont="1" applyBorder="1" applyAlignment="1" applyProtection="1">
      <alignment horizontal="center"/>
    </xf>
    <xf numFmtId="0" fontId="4" fillId="0" borderId="16" xfId="208" applyFont="1" applyFill="1" applyBorder="1" applyProtection="1"/>
    <xf numFmtId="0" fontId="1" fillId="0" borderId="16" xfId="208" applyFont="1" applyFill="1" applyBorder="1" applyAlignment="1" applyProtection="1">
      <alignment horizontal="right"/>
    </xf>
    <xf numFmtId="0" fontId="43" fillId="26" borderId="15" xfId="71" applyFont="1" applyFill="1" applyBorder="1" applyAlignment="1" applyProtection="1">
      <alignment vertical="center"/>
    </xf>
    <xf numFmtId="0" fontId="1" fillId="0" borderId="107" xfId="208" applyFont="1" applyBorder="1" applyProtection="1"/>
    <xf numFmtId="0" fontId="2" fillId="0" borderId="0" xfId="208" applyFont="1" applyBorder="1" applyAlignment="1" applyProtection="1"/>
    <xf numFmtId="0" fontId="5" fillId="0" borderId="18" xfId="208" applyFont="1" applyBorder="1" applyAlignment="1" applyProtection="1">
      <alignment horizontal="center" vertical="center"/>
    </xf>
    <xf numFmtId="0" fontId="2" fillId="0" borderId="16" xfId="208" applyFont="1" applyBorder="1" applyAlignment="1" applyProtection="1"/>
    <xf numFmtId="0" fontId="5" fillId="0" borderId="14" xfId="208" applyFont="1" applyBorder="1" applyAlignment="1" applyProtection="1">
      <alignment horizontal="center" vertical="center"/>
    </xf>
    <xf numFmtId="0" fontId="1" fillId="0" borderId="18" xfId="208" applyFont="1" applyBorder="1" applyProtection="1"/>
    <xf numFmtId="0" fontId="2" fillId="0" borderId="19" xfId="208" applyFont="1" applyBorder="1" applyProtection="1"/>
    <xf numFmtId="0" fontId="2" fillId="0" borderId="15" xfId="208" applyFont="1" applyBorder="1" applyProtection="1"/>
    <xf numFmtId="0" fontId="1" fillId="0" borderId="16" xfId="208" applyBorder="1" applyAlignment="1" applyProtection="1">
      <alignment vertical="center" wrapText="1"/>
    </xf>
    <xf numFmtId="0" fontId="5" fillId="0" borderId="18" xfId="208" applyFont="1" applyBorder="1" applyProtection="1"/>
    <xf numFmtId="0" fontId="1" fillId="0" borderId="14" xfId="208" applyFont="1" applyBorder="1" applyProtection="1"/>
    <xf numFmtId="0" fontId="5" fillId="25" borderId="61" xfId="208" applyFont="1" applyFill="1" applyBorder="1" applyAlignment="1" applyProtection="1">
      <alignment horizontal="left" indent="2"/>
    </xf>
    <xf numFmtId="0" fontId="2" fillId="0" borderId="19" xfId="68" applyFont="1" applyBorder="1" applyAlignment="1" applyProtection="1"/>
    <xf numFmtId="0" fontId="44" fillId="0" borderId="18" xfId="68" applyFont="1" applyBorder="1" applyProtection="1"/>
    <xf numFmtId="0" fontId="44" fillId="0" borderId="79" xfId="68" applyFont="1" applyBorder="1" applyProtection="1"/>
    <xf numFmtId="0" fontId="1" fillId="0" borderId="0" xfId="72" applyFont="1" applyProtection="1">
      <protection locked="0"/>
    </xf>
    <xf numFmtId="0" fontId="1" fillId="0" borderId="0" xfId="72" applyFont="1" applyProtection="1"/>
    <xf numFmtId="0" fontId="50" fillId="0" borderId="0" xfId="72" applyProtection="1"/>
    <xf numFmtId="0" fontId="1" fillId="0" borderId="0" xfId="1" applyProtection="1"/>
    <xf numFmtId="0" fontId="51" fillId="0" borderId="0" xfId="1" applyFont="1" applyAlignment="1" applyProtection="1">
      <alignment horizontal="center"/>
    </xf>
    <xf numFmtId="0" fontId="1" fillId="0" borderId="0" xfId="1" applyFont="1" applyProtection="1"/>
    <xf numFmtId="0" fontId="1" fillId="0" borderId="56" xfId="1" applyBorder="1" applyAlignment="1" applyProtection="1">
      <alignment horizontal="center"/>
    </xf>
    <xf numFmtId="0" fontId="1" fillId="0" borderId="56" xfId="1" applyBorder="1" applyProtection="1"/>
    <xf numFmtId="0" fontId="1" fillId="0" borderId="56" xfId="1" applyFont="1" applyBorder="1" applyAlignment="1" applyProtection="1">
      <alignment horizontal="center"/>
    </xf>
    <xf numFmtId="14" fontId="1" fillId="0" borderId="56" xfId="1" applyNumberFormat="1" applyBorder="1" applyAlignment="1" applyProtection="1">
      <alignment horizontal="center"/>
    </xf>
    <xf numFmtId="0" fontId="1" fillId="0" borderId="56" xfId="1" applyFill="1" applyBorder="1" applyAlignment="1" applyProtection="1">
      <alignment horizontal="center"/>
    </xf>
    <xf numFmtId="0" fontId="4" fillId="0" borderId="0" xfId="1" applyFont="1" applyProtection="1"/>
    <xf numFmtId="167" fontId="1" fillId="0" borderId="56" xfId="1" applyNumberFormat="1" applyBorder="1" applyAlignment="1" applyProtection="1">
      <alignment horizontal="center"/>
    </xf>
    <xf numFmtId="2" fontId="1" fillId="0" borderId="0" xfId="1" applyNumberFormat="1" applyAlignment="1" applyProtection="1">
      <alignment horizontal="center"/>
    </xf>
    <xf numFmtId="167" fontId="1" fillId="0" borderId="0" xfId="1" applyNumberFormat="1" applyFill="1" applyBorder="1" applyAlignment="1" applyProtection="1">
      <alignment horizontal="center"/>
    </xf>
    <xf numFmtId="2" fontId="1" fillId="0" borderId="0" xfId="1" applyNumberFormat="1" applyProtection="1"/>
    <xf numFmtId="0" fontId="58" fillId="0" borderId="0" xfId="1" applyFont="1" applyProtection="1"/>
    <xf numFmtId="0" fontId="1" fillId="0" borderId="0" xfId="71" applyFont="1" applyFill="1" applyProtection="1"/>
    <xf numFmtId="0" fontId="1" fillId="0" borderId="0" xfId="71" applyFont="1" applyFill="1" applyAlignment="1" applyProtection="1">
      <alignment vertical="center"/>
    </xf>
    <xf numFmtId="0" fontId="4" fillId="0" borderId="9" xfId="429" applyFont="1" applyBorder="1" applyAlignment="1" applyProtection="1">
      <alignment horizontal="center" vertical="center" wrapText="1"/>
      <protection locked="0"/>
    </xf>
    <xf numFmtId="0" fontId="2" fillId="0" borderId="41" xfId="208" applyFont="1" applyBorder="1" applyAlignment="1" applyProtection="1">
      <alignment horizontal="center" vertical="center" wrapText="1"/>
    </xf>
    <xf numFmtId="0" fontId="4" fillId="0" borderId="18" xfId="208" applyFont="1" applyBorder="1" applyAlignment="1" applyProtection="1">
      <alignment horizontal="center"/>
    </xf>
    <xf numFmtId="0" fontId="4" fillId="0" borderId="0" xfId="208" applyFont="1" applyBorder="1" applyAlignment="1" applyProtection="1">
      <alignment horizontal="center"/>
    </xf>
    <xf numFmtId="0" fontId="5" fillId="26" borderId="0" xfId="71" applyFont="1" applyFill="1" applyBorder="1" applyAlignment="1" applyProtection="1">
      <alignment horizontal="left" vertical="center"/>
    </xf>
    <xf numFmtId="0" fontId="43" fillId="25" borderId="119" xfId="208" applyFont="1" applyFill="1" applyBorder="1" applyAlignment="1" applyProtection="1">
      <alignment horizontal="center" vertical="center"/>
    </xf>
    <xf numFmtId="0" fontId="43" fillId="26" borderId="19" xfId="74" applyFont="1" applyFill="1" applyBorder="1" applyAlignment="1" applyProtection="1">
      <alignment horizontal="left" vertical="center"/>
    </xf>
    <xf numFmtId="0" fontId="43" fillId="26" borderId="19" xfId="74" applyFont="1" applyFill="1" applyBorder="1" applyAlignment="1" applyProtection="1">
      <alignment vertical="center"/>
    </xf>
    <xf numFmtId="0" fontId="5" fillId="26" borderId="16" xfId="71" applyFont="1" applyFill="1" applyBorder="1" applyAlignment="1" applyProtection="1">
      <alignment vertical="center"/>
    </xf>
    <xf numFmtId="0" fontId="3" fillId="0" borderId="0" xfId="208" applyFont="1" applyBorder="1" applyProtection="1"/>
    <xf numFmtId="0" fontId="2" fillId="0" borderId="16" xfId="208" applyFont="1" applyBorder="1" applyProtection="1"/>
    <xf numFmtId="168" fontId="2" fillId="26" borderId="18" xfId="71" applyNumberFormat="1" applyFont="1" applyFill="1" applyBorder="1" applyAlignment="1" applyProtection="1">
      <alignment horizontal="left" vertical="center"/>
    </xf>
    <xf numFmtId="0" fontId="2" fillId="0" borderId="108" xfId="208" applyFont="1" applyBorder="1" applyAlignment="1" applyProtection="1">
      <alignment horizontal="center"/>
    </xf>
    <xf numFmtId="0" fontId="2" fillId="0" borderId="209" xfId="208" applyFont="1" applyBorder="1" applyAlignment="1" applyProtection="1">
      <alignment horizontal="center"/>
    </xf>
    <xf numFmtId="1" fontId="126" fillId="0" borderId="207" xfId="208" applyNumberFormat="1" applyFont="1" applyBorder="1" applyAlignment="1" applyProtection="1">
      <alignment horizontal="center" vertical="center"/>
    </xf>
    <xf numFmtId="1" fontId="126" fillId="0" borderId="211" xfId="208" applyNumberFormat="1" applyFont="1" applyBorder="1" applyAlignment="1" applyProtection="1">
      <alignment horizontal="center" vertical="center"/>
    </xf>
    <xf numFmtId="167" fontId="2" fillId="0" borderId="208" xfId="208" applyNumberFormat="1" applyFont="1" applyBorder="1" applyAlignment="1" applyProtection="1">
      <alignment horizontal="center" vertical="center"/>
    </xf>
    <xf numFmtId="0" fontId="2" fillId="0" borderId="34" xfId="208" applyFont="1" applyBorder="1" applyAlignment="1" applyProtection="1">
      <alignment horizontal="center"/>
    </xf>
    <xf numFmtId="0" fontId="2" fillId="0" borderId="35" xfId="208" applyFont="1" applyBorder="1" applyAlignment="1" applyProtection="1">
      <alignment horizontal="center"/>
    </xf>
    <xf numFmtId="167" fontId="2" fillId="0" borderId="212" xfId="208" applyNumberFormat="1" applyFont="1" applyBorder="1" applyAlignment="1" applyProtection="1">
      <alignment horizontal="center" vertical="center"/>
    </xf>
    <xf numFmtId="0" fontId="2" fillId="0" borderId="213" xfId="208" applyFont="1" applyBorder="1" applyAlignment="1" applyProtection="1">
      <alignment horizontal="center"/>
    </xf>
    <xf numFmtId="167" fontId="2" fillId="0" borderId="209" xfId="208" applyNumberFormat="1" applyFont="1" applyBorder="1" applyAlignment="1" applyProtection="1">
      <alignment horizontal="center" vertical="center"/>
    </xf>
    <xf numFmtId="167" fontId="2" fillId="0" borderId="207" xfId="208" applyNumberFormat="1" applyFont="1" applyBorder="1" applyAlignment="1" applyProtection="1">
      <alignment horizontal="center" vertical="center"/>
    </xf>
    <xf numFmtId="1" fontId="2" fillId="0" borderId="18" xfId="208" applyNumberFormat="1" applyFont="1" applyBorder="1" applyAlignment="1" applyProtection="1">
      <alignment horizontal="center" vertical="center"/>
    </xf>
    <xf numFmtId="1" fontId="2" fillId="0" borderId="72" xfId="208" applyNumberFormat="1" applyFont="1" applyBorder="1" applyAlignment="1" applyProtection="1">
      <alignment horizontal="center" vertical="center"/>
    </xf>
    <xf numFmtId="1" fontId="2" fillId="0" borderId="61" xfId="208" applyNumberFormat="1" applyFont="1" applyBorder="1" applyAlignment="1" applyProtection="1">
      <alignment horizontal="center" vertical="center"/>
    </xf>
    <xf numFmtId="1" fontId="2" fillId="0" borderId="122" xfId="208" applyNumberFormat="1" applyFont="1" applyBorder="1" applyAlignment="1" applyProtection="1">
      <alignment horizontal="center" vertical="center"/>
    </xf>
    <xf numFmtId="1" fontId="2" fillId="0" borderId="121" xfId="208" applyNumberFormat="1" applyFont="1" applyBorder="1" applyAlignment="1" applyProtection="1">
      <alignment horizontal="center" vertical="center"/>
    </xf>
    <xf numFmtId="1" fontId="2" fillId="0" borderId="214" xfId="208" applyNumberFormat="1" applyFont="1" applyBorder="1" applyAlignment="1" applyProtection="1">
      <alignment horizontal="center" vertical="center"/>
    </xf>
    <xf numFmtId="0" fontId="2" fillId="0" borderId="110" xfId="208" applyFont="1" applyBorder="1" applyAlignment="1" applyProtection="1">
      <alignment horizontal="center"/>
    </xf>
    <xf numFmtId="0" fontId="2" fillId="0" borderId="115" xfId="208" applyFont="1" applyBorder="1" applyAlignment="1" applyProtection="1">
      <alignment horizontal="center"/>
    </xf>
    <xf numFmtId="167" fontId="2" fillId="0" borderId="111" xfId="208" applyNumberFormat="1" applyFont="1" applyBorder="1" applyAlignment="1" applyProtection="1">
      <alignment horizontal="center" vertical="center"/>
    </xf>
    <xf numFmtId="167" fontId="2" fillId="0" borderId="109" xfId="208" applyNumberFormat="1" applyFont="1" applyBorder="1" applyAlignment="1" applyProtection="1">
      <alignment horizontal="center" vertical="center"/>
    </xf>
    <xf numFmtId="0" fontId="2" fillId="0" borderId="217" xfId="208" applyFont="1" applyBorder="1" applyAlignment="1" applyProtection="1">
      <alignment horizontal="center"/>
    </xf>
    <xf numFmtId="0" fontId="2" fillId="0" borderId="218" xfId="208" applyFont="1" applyBorder="1" applyAlignment="1" applyProtection="1">
      <alignment horizontal="center" wrapText="1"/>
    </xf>
    <xf numFmtId="167" fontId="2" fillId="0" borderId="219" xfId="208" applyNumberFormat="1" applyFont="1" applyBorder="1" applyAlignment="1" applyProtection="1">
      <alignment horizontal="center" vertical="center" wrapText="1"/>
    </xf>
    <xf numFmtId="167" fontId="2" fillId="0" borderId="216" xfId="208" applyNumberFormat="1" applyFont="1" applyBorder="1" applyAlignment="1" applyProtection="1">
      <alignment horizontal="center" vertical="center" wrapText="1"/>
    </xf>
    <xf numFmtId="1" fontId="2" fillId="0" borderId="215" xfId="208" applyNumberFormat="1" applyFont="1" applyBorder="1" applyAlignment="1" applyProtection="1">
      <alignment horizontal="center" vertical="center"/>
    </xf>
    <xf numFmtId="0" fontId="3" fillId="26" borderId="0" xfId="71" applyFont="1" applyFill="1" applyBorder="1" applyAlignment="1" applyProtection="1">
      <alignment vertical="top" wrapText="1"/>
      <protection locked="0"/>
    </xf>
    <xf numFmtId="0" fontId="2" fillId="38" borderId="0" xfId="208" applyFont="1" applyFill="1" applyBorder="1" applyAlignment="1" applyProtection="1">
      <alignment horizontal="right"/>
    </xf>
    <xf numFmtId="0" fontId="2" fillId="38" borderId="39" xfId="208" applyFont="1" applyFill="1" applyBorder="1" applyAlignment="1" applyProtection="1">
      <alignment vertical="center"/>
    </xf>
    <xf numFmtId="0" fontId="1" fillId="38" borderId="39" xfId="208" applyFill="1" applyBorder="1" applyProtection="1"/>
    <xf numFmtId="0" fontId="5" fillId="26" borderId="12" xfId="71" applyFont="1" applyFill="1" applyBorder="1" applyAlignment="1" applyProtection="1">
      <alignment vertical="top" wrapText="1"/>
      <protection locked="0"/>
    </xf>
    <xf numFmtId="0" fontId="2" fillId="0" borderId="10" xfId="208" applyFont="1" applyBorder="1" applyAlignment="1" applyProtection="1">
      <alignment horizontal="center" vertical="center"/>
      <protection locked="0"/>
    </xf>
    <xf numFmtId="0" fontId="2" fillId="0" borderId="9" xfId="208" applyFont="1" applyBorder="1" applyAlignment="1" applyProtection="1">
      <alignment horizontal="center" vertical="center"/>
      <protection locked="0"/>
    </xf>
    <xf numFmtId="0" fontId="1" fillId="29" borderId="11" xfId="208" applyFill="1" applyBorder="1" applyAlignment="1" applyProtection="1">
      <alignment vertical="center" wrapText="1"/>
      <protection locked="0"/>
    </xf>
    <xf numFmtId="0" fontId="1" fillId="29" borderId="10" xfId="208" applyFill="1" applyBorder="1" applyAlignment="1" applyProtection="1">
      <alignment vertical="center" wrapText="1"/>
      <protection locked="0"/>
    </xf>
    <xf numFmtId="0" fontId="1" fillId="0" borderId="72" xfId="208" applyFont="1" applyBorder="1" applyProtection="1">
      <protection locked="0"/>
    </xf>
    <xf numFmtId="0" fontId="1" fillId="0" borderId="19" xfId="208" applyFont="1" applyBorder="1" applyProtection="1">
      <protection locked="0"/>
    </xf>
    <xf numFmtId="0" fontId="3" fillId="0" borderId="19" xfId="208" applyFont="1" applyBorder="1" applyProtection="1">
      <protection locked="0"/>
    </xf>
    <xf numFmtId="0" fontId="2" fillId="0" borderId="15" xfId="208" applyFont="1" applyBorder="1" applyProtection="1">
      <protection locked="0"/>
    </xf>
    <xf numFmtId="0" fontId="1" fillId="0" borderId="16" xfId="208" applyFont="1" applyBorder="1" applyProtection="1">
      <protection locked="0"/>
    </xf>
    <xf numFmtId="0" fontId="1" fillId="0" borderId="33" xfId="429" applyFont="1" applyBorder="1" applyProtection="1">
      <protection locked="0"/>
    </xf>
    <xf numFmtId="0" fontId="4" fillId="2" borderId="34" xfId="150" applyFont="1" applyFill="1" applyBorder="1" applyAlignment="1" applyProtection="1">
      <alignment horizontal="left" vertical="center"/>
      <protection locked="0"/>
    </xf>
    <xf numFmtId="0" fontId="1" fillId="0" borderId="34" xfId="429" applyFont="1" applyBorder="1" applyProtection="1">
      <protection locked="0"/>
    </xf>
    <xf numFmtId="168" fontId="4" fillId="2" borderId="34" xfId="150" applyNumberFormat="1" applyFont="1" applyFill="1" applyBorder="1" applyAlignment="1" applyProtection="1">
      <alignment vertical="center"/>
      <protection locked="0"/>
    </xf>
    <xf numFmtId="0" fontId="4" fillId="2" borderId="34" xfId="150" applyFont="1" applyFill="1" applyBorder="1" applyAlignment="1" applyProtection="1">
      <alignment horizontal="center" vertical="center"/>
      <protection locked="0"/>
    </xf>
    <xf numFmtId="0" fontId="1" fillId="0" borderId="36" xfId="429" applyFont="1" applyBorder="1" applyProtection="1">
      <protection locked="0"/>
    </xf>
    <xf numFmtId="167" fontId="3" fillId="0" borderId="0" xfId="429" applyNumberFormat="1" applyFont="1" applyBorder="1" applyAlignment="1" applyProtection="1">
      <alignment horizontal="center" vertical="center"/>
      <protection locked="0"/>
    </xf>
    <xf numFmtId="0" fontId="1" fillId="0" borderId="0" xfId="429" applyFont="1" applyBorder="1" applyAlignment="1" applyProtection="1">
      <alignment horizontal="center" vertical="center"/>
      <protection locked="0"/>
    </xf>
    <xf numFmtId="0" fontId="1" fillId="0" borderId="0" xfId="428" applyFont="1" applyBorder="1" applyAlignment="1" applyProtection="1">
      <alignment horizontal="center" vertical="center"/>
      <protection locked="0"/>
    </xf>
    <xf numFmtId="0" fontId="1" fillId="0" borderId="0" xfId="429" applyFont="1" applyBorder="1" applyProtection="1">
      <protection locked="0"/>
    </xf>
    <xf numFmtId="0" fontId="1" fillId="0" borderId="36" xfId="429" applyFont="1" applyBorder="1" applyAlignment="1" applyProtection="1">
      <alignment vertical="center"/>
      <protection locked="0"/>
    </xf>
    <xf numFmtId="0" fontId="1" fillId="0" borderId="0" xfId="429" applyFont="1" applyBorder="1" applyAlignment="1" applyProtection="1">
      <alignment vertical="center"/>
      <protection locked="0"/>
    </xf>
    <xf numFmtId="0" fontId="4" fillId="0" borderId="0" xfId="429" applyFont="1" applyBorder="1" applyProtection="1">
      <protection locked="0"/>
    </xf>
    <xf numFmtId="0" fontId="3" fillId="0" borderId="0" xfId="429" applyFont="1" applyBorder="1" applyProtection="1">
      <protection locked="0"/>
    </xf>
    <xf numFmtId="168" fontId="2" fillId="26" borderId="18" xfId="71" applyNumberFormat="1" applyFont="1" applyFill="1" applyBorder="1" applyAlignment="1" applyProtection="1">
      <alignment horizontal="left" vertical="center"/>
      <protection locked="0"/>
    </xf>
    <xf numFmtId="168" fontId="2" fillId="26" borderId="18" xfId="208" applyNumberFormat="1" applyFont="1" applyFill="1" applyBorder="1" applyAlignment="1" applyProtection="1">
      <alignment horizontal="left"/>
      <protection locked="0"/>
    </xf>
    <xf numFmtId="1" fontId="12" fillId="2" borderId="0" xfId="21" applyNumberFormat="1" applyFont="1" applyFill="1" applyBorder="1" applyAlignment="1" applyProtection="1"/>
    <xf numFmtId="167" fontId="15" fillId="2" borderId="0" xfId="21" applyNumberFormat="1" applyFont="1" applyFill="1" applyBorder="1" applyAlignment="1" applyProtection="1">
      <alignment horizontal="left"/>
    </xf>
    <xf numFmtId="15" fontId="15" fillId="2" borderId="0" xfId="21" applyNumberFormat="1" applyFont="1" applyFill="1" applyBorder="1" applyAlignment="1" applyProtection="1">
      <alignment horizontal="left"/>
    </xf>
    <xf numFmtId="0" fontId="2" fillId="26" borderId="17" xfId="72" applyFont="1" applyFill="1" applyBorder="1" applyAlignment="1" applyProtection="1">
      <alignment horizontal="left" vertical="center"/>
      <protection locked="0"/>
    </xf>
    <xf numFmtId="167" fontId="2" fillId="0" borderId="72" xfId="208" applyNumberFormat="1" applyFont="1" applyBorder="1" applyAlignment="1" applyProtection="1">
      <alignment horizontal="center" vertical="center"/>
    </xf>
    <xf numFmtId="167" fontId="126" fillId="0" borderId="207" xfId="208" applyNumberFormat="1" applyFont="1" applyBorder="1" applyAlignment="1" applyProtection="1">
      <alignment horizontal="center" vertical="center"/>
    </xf>
    <xf numFmtId="167" fontId="2" fillId="0" borderId="107" xfId="208" applyNumberFormat="1" applyFont="1" applyBorder="1" applyAlignment="1" applyProtection="1">
      <alignment horizontal="center" vertical="center"/>
    </xf>
    <xf numFmtId="167" fontId="2" fillId="0" borderId="210" xfId="208" applyNumberFormat="1" applyFont="1" applyBorder="1" applyAlignment="1" applyProtection="1">
      <alignment horizontal="center" vertical="center"/>
    </xf>
    <xf numFmtId="1" fontId="126" fillId="0" borderId="210" xfId="208" applyNumberFormat="1" applyFont="1" applyBorder="1" applyAlignment="1" applyProtection="1">
      <alignment horizontal="center" vertical="center" wrapText="1"/>
    </xf>
    <xf numFmtId="0" fontId="126" fillId="26" borderId="34" xfId="71" applyFont="1" applyFill="1" applyBorder="1" applyAlignment="1" applyProtection="1">
      <alignment vertical="top" wrapText="1"/>
      <protection locked="0"/>
    </xf>
    <xf numFmtId="0" fontId="43" fillId="26" borderId="12" xfId="0" applyFont="1" applyFill="1" applyBorder="1" applyAlignment="1" applyProtection="1">
      <alignment vertical="center"/>
    </xf>
    <xf numFmtId="0" fontId="2" fillId="2" borderId="17" xfId="72" applyFont="1" applyFill="1" applyBorder="1" applyAlignment="1" applyProtection="1">
      <alignment horizontal="left" vertical="center"/>
      <protection locked="0"/>
    </xf>
    <xf numFmtId="0" fontId="2" fillId="2" borderId="0" xfId="150" applyFont="1" applyFill="1" applyBorder="1" applyAlignment="1" applyProtection="1">
      <alignment horizontal="left" vertical="center"/>
    </xf>
    <xf numFmtId="0" fontId="43" fillId="26" borderId="0" xfId="150" applyFont="1" applyFill="1" applyBorder="1" applyAlignment="1" applyProtection="1">
      <alignment horizontal="left" vertical="center"/>
    </xf>
    <xf numFmtId="186" fontId="2" fillId="0" borderId="0" xfId="71" applyNumberFormat="1" applyFont="1" applyBorder="1" applyAlignment="1" applyProtection="1">
      <alignment horizontal="left" vertical="center"/>
    </xf>
    <xf numFmtId="0" fontId="43" fillId="26" borderId="0" xfId="71" applyFont="1" applyFill="1" applyBorder="1" applyAlignment="1" applyProtection="1">
      <alignment horizontal="left" vertical="center"/>
    </xf>
    <xf numFmtId="0" fontId="43" fillId="26" borderId="0" xfId="74" applyFont="1" applyFill="1" applyBorder="1" applyAlignment="1" applyProtection="1">
      <alignment horizontal="right" vertical="center"/>
    </xf>
    <xf numFmtId="0" fontId="43" fillId="26" borderId="0" xfId="71" applyFont="1" applyFill="1" applyBorder="1" applyAlignment="1" applyProtection="1">
      <alignment horizontal="right" vertical="center"/>
    </xf>
    <xf numFmtId="186" fontId="43" fillId="26" borderId="0" xfId="71" applyNumberFormat="1" applyFont="1" applyFill="1" applyBorder="1" applyAlignment="1" applyProtection="1">
      <alignment horizontal="right" vertical="center"/>
    </xf>
    <xf numFmtId="0" fontId="5" fillId="26" borderId="36" xfId="71" applyFont="1" applyFill="1" applyBorder="1" applyAlignment="1" applyProtection="1">
      <alignment vertical="center" wrapText="1"/>
    </xf>
    <xf numFmtId="0" fontId="5" fillId="26" borderId="38" xfId="71" applyFont="1" applyFill="1" applyBorder="1" applyAlignment="1" applyProtection="1">
      <alignment vertical="center" wrapText="1"/>
    </xf>
    <xf numFmtId="0" fontId="5" fillId="26" borderId="80" xfId="71" applyFont="1" applyFill="1" applyBorder="1" applyAlignment="1" applyProtection="1">
      <alignment vertical="center"/>
    </xf>
    <xf numFmtId="1" fontId="2" fillId="0" borderId="0" xfId="71" applyNumberFormat="1" applyFont="1" applyBorder="1" applyAlignment="1" applyProtection="1">
      <alignment horizontal="left" vertical="center"/>
    </xf>
    <xf numFmtId="0" fontId="43" fillId="0" borderId="39" xfId="429" applyFont="1" applyBorder="1" applyProtection="1"/>
    <xf numFmtId="0" fontId="83" fillId="0" borderId="39" xfId="429" applyFont="1" applyBorder="1" applyProtection="1"/>
    <xf numFmtId="0" fontId="43" fillId="26" borderId="16" xfId="208" applyFont="1" applyFill="1" applyBorder="1" applyProtection="1"/>
    <xf numFmtId="0" fontId="1" fillId="26" borderId="16" xfId="208" applyFill="1" applyBorder="1" applyProtection="1"/>
    <xf numFmtId="0" fontId="43" fillId="26" borderId="16" xfId="208" applyFont="1" applyFill="1" applyBorder="1" applyAlignment="1" applyProtection="1">
      <alignment horizontal="left"/>
    </xf>
    <xf numFmtId="0" fontId="126" fillId="2" borderId="19" xfId="21" applyFont="1" applyFill="1" applyBorder="1" applyAlignment="1" applyProtection="1">
      <alignment horizontal="center" vertical="center"/>
    </xf>
    <xf numFmtId="0" fontId="126" fillId="2" borderId="0" xfId="21" applyFont="1" applyFill="1" applyBorder="1" applyAlignment="1" applyProtection="1">
      <alignment horizontal="center" vertical="center"/>
    </xf>
    <xf numFmtId="0" fontId="12" fillId="27" borderId="0" xfId="21" applyFont="1" applyFill="1" applyAlignment="1" applyProtection="1">
      <alignment horizontal="left" vertical="center"/>
    </xf>
    <xf numFmtId="0" fontId="12" fillId="2" borderId="0" xfId="21" applyFont="1" applyFill="1" applyAlignment="1" applyProtection="1">
      <alignment horizontal="left" vertical="center"/>
    </xf>
    <xf numFmtId="0" fontId="12" fillId="2" borderId="0" xfId="21" applyFont="1" applyFill="1" applyAlignment="1" applyProtection="1">
      <alignment horizontal="center" vertical="center"/>
    </xf>
    <xf numFmtId="0" fontId="141" fillId="2" borderId="0" xfId="21" applyFont="1" applyFill="1" applyProtection="1">
      <protection locked="0"/>
    </xf>
    <xf numFmtId="0" fontId="12" fillId="2" borderId="0" xfId="21" applyFont="1" applyFill="1" applyProtection="1">
      <protection locked="0"/>
    </xf>
    <xf numFmtId="0" fontId="141" fillId="2" borderId="0" xfId="0" applyFont="1" applyFill="1" applyProtection="1">
      <protection locked="0"/>
    </xf>
    <xf numFmtId="0" fontId="12" fillId="2" borderId="0" xfId="21" applyFont="1" applyFill="1" applyBorder="1" applyAlignment="1" applyProtection="1"/>
    <xf numFmtId="0" fontId="126" fillId="2" borderId="0" xfId="21" applyFont="1" applyFill="1" applyBorder="1" applyProtection="1"/>
    <xf numFmtId="0" fontId="126" fillId="2" borderId="0" xfId="21" applyFont="1" applyFill="1" applyBorder="1" applyAlignment="1" applyProtection="1">
      <alignment horizontal="center"/>
    </xf>
    <xf numFmtId="0" fontId="126" fillId="2" borderId="0" xfId="21" quotePrefix="1" applyFont="1" applyFill="1" applyBorder="1" applyAlignment="1" applyProtection="1">
      <alignment horizontal="center" vertical="center"/>
    </xf>
    <xf numFmtId="0" fontId="2" fillId="2" borderId="0" xfId="21" applyFont="1" applyFill="1" applyProtection="1">
      <protection locked="0"/>
    </xf>
    <xf numFmtId="0" fontId="126" fillId="2" borderId="0" xfId="21" applyFont="1" applyFill="1" applyProtection="1">
      <protection locked="0"/>
    </xf>
    <xf numFmtId="0" fontId="141" fillId="2" borderId="0" xfId="21" applyFont="1" applyFill="1" applyBorder="1" applyProtection="1">
      <protection locked="0"/>
    </xf>
    <xf numFmtId="0" fontId="143" fillId="2" borderId="0" xfId="0" applyFont="1" applyFill="1" applyProtection="1">
      <protection locked="0"/>
    </xf>
    <xf numFmtId="0" fontId="141" fillId="2" borderId="0" xfId="21" applyFont="1" applyFill="1" applyBorder="1" applyAlignment="1" applyProtection="1">
      <alignment vertical="center"/>
    </xf>
    <xf numFmtId="0" fontId="139" fillId="2" borderId="0" xfId="21" applyFont="1" applyFill="1" applyBorder="1" applyAlignment="1" applyProtection="1">
      <alignment horizontal="center" vertical="center"/>
    </xf>
    <xf numFmtId="0" fontId="126" fillId="2" borderId="19" xfId="21" applyFont="1" applyFill="1" applyBorder="1" applyAlignment="1" applyProtection="1">
      <alignment horizontal="center"/>
    </xf>
    <xf numFmtId="0" fontId="2" fillId="2" borderId="0" xfId="21" applyFont="1" applyFill="1" applyBorder="1" applyAlignment="1" applyProtection="1">
      <alignment horizontal="center" vertical="center"/>
    </xf>
    <xf numFmtId="0" fontId="2" fillId="2" borderId="0" xfId="21" applyFont="1" applyFill="1" applyBorder="1" applyAlignment="1" applyProtection="1">
      <alignment horizontal="center" vertical="center"/>
      <protection locked="0"/>
    </xf>
    <xf numFmtId="0" fontId="126" fillId="40" borderId="19" xfId="21" applyFont="1" applyFill="1" applyBorder="1" applyAlignment="1" applyProtection="1">
      <alignment horizontal="center" vertical="center"/>
    </xf>
    <xf numFmtId="0" fontId="126" fillId="40" borderId="0" xfId="21" applyFont="1" applyFill="1" applyBorder="1" applyAlignment="1" applyProtection="1">
      <alignment horizontal="center" vertical="center"/>
    </xf>
    <xf numFmtId="0" fontId="126" fillId="2" borderId="0" xfId="21" applyFont="1" applyFill="1" applyBorder="1" applyProtection="1">
      <protection locked="0"/>
    </xf>
    <xf numFmtId="0" fontId="126" fillId="2" borderId="18" xfId="21" applyFont="1" applyFill="1" applyBorder="1" applyAlignment="1" applyProtection="1">
      <alignment horizontal="center" vertical="center"/>
    </xf>
    <xf numFmtId="0" fontId="126" fillId="2" borderId="18" xfId="21" applyFont="1" applyFill="1" applyBorder="1" applyAlignment="1" applyProtection="1">
      <alignment horizontal="center"/>
    </xf>
    <xf numFmtId="0" fontId="126" fillId="2" borderId="18" xfId="21" applyFont="1" applyFill="1" applyBorder="1" applyProtection="1"/>
    <xf numFmtId="1" fontId="126" fillId="2" borderId="15" xfId="21" quotePrefix="1" applyNumberFormat="1" applyFont="1" applyFill="1" applyBorder="1" applyAlignment="1" applyProtection="1">
      <alignment horizontal="center" vertical="center"/>
    </xf>
    <xf numFmtId="0" fontId="126" fillId="2" borderId="14" xfId="21" applyFont="1" applyFill="1" applyBorder="1" applyAlignment="1" applyProtection="1">
      <alignment horizontal="center" vertical="center"/>
    </xf>
    <xf numFmtId="0" fontId="2" fillId="2" borderId="0" xfId="21" applyFont="1" applyFill="1" applyBorder="1" applyProtection="1"/>
    <xf numFmtId="0" fontId="2" fillId="2" borderId="0" xfId="21" applyFont="1" applyFill="1" applyBorder="1" applyAlignment="1" applyProtection="1">
      <alignment horizontal="center"/>
    </xf>
    <xf numFmtId="0" fontId="2" fillId="2" borderId="19" xfId="21" applyFont="1" applyFill="1" applyBorder="1" applyProtection="1"/>
    <xf numFmtId="0" fontId="2" fillId="2" borderId="0" xfId="21" applyFont="1" applyFill="1" applyBorder="1" applyAlignment="1" applyProtection="1">
      <alignment vertical="center"/>
      <protection locked="0"/>
    </xf>
    <xf numFmtId="0" fontId="2" fillId="2" borderId="0" xfId="21" applyFont="1" applyFill="1" applyBorder="1" applyAlignment="1" applyProtection="1">
      <alignment vertical="center"/>
    </xf>
    <xf numFmtId="0" fontId="2" fillId="2" borderId="19" xfId="21" applyFont="1" applyFill="1" applyBorder="1" applyAlignment="1" applyProtection="1">
      <alignment vertical="center"/>
    </xf>
    <xf numFmtId="0" fontId="2" fillId="2" borderId="18" xfId="21" applyFont="1" applyFill="1" applyBorder="1" applyAlignment="1" applyProtection="1">
      <alignment horizontal="center" vertical="center"/>
    </xf>
    <xf numFmtId="0" fontId="2" fillId="2" borderId="19" xfId="21" applyFont="1" applyFill="1" applyBorder="1" applyAlignment="1" applyProtection="1">
      <alignment horizontal="center" vertical="center"/>
    </xf>
    <xf numFmtId="0" fontId="1" fillId="2" borderId="0" xfId="21" quotePrefix="1" applyFont="1" applyFill="1" applyAlignment="1" applyProtection="1">
      <alignment horizontal="center"/>
      <protection locked="0"/>
    </xf>
    <xf numFmtId="0" fontId="2" fillId="2" borderId="0" xfId="21" quotePrefix="1" applyFont="1" applyFill="1" applyBorder="1" applyAlignment="1" applyProtection="1">
      <alignment horizontal="center" vertical="center"/>
    </xf>
    <xf numFmtId="0" fontId="1" fillId="2" borderId="0" xfId="21" applyFont="1" applyFill="1" applyProtection="1">
      <protection locked="0"/>
    </xf>
    <xf numFmtId="0" fontId="2" fillId="2" borderId="15" xfId="21" applyFont="1" applyFill="1" applyBorder="1" applyAlignment="1" applyProtection="1">
      <alignment horizontal="center" vertical="center"/>
    </xf>
    <xf numFmtId="0" fontId="2" fillId="2" borderId="19" xfId="21" applyFont="1" applyFill="1" applyBorder="1" applyAlignment="1" applyProtection="1">
      <alignment horizontal="center" vertical="center"/>
      <protection locked="0"/>
    </xf>
    <xf numFmtId="0" fontId="141" fillId="2" borderId="0" xfId="21" applyFont="1" applyFill="1" applyBorder="1" applyAlignment="1" applyProtection="1">
      <alignment horizontal="center"/>
      <protection locked="0"/>
    </xf>
    <xf numFmtId="0" fontId="2" fillId="2" borderId="15" xfId="21" applyFont="1" applyFill="1" applyBorder="1" applyAlignment="1" applyProtection="1">
      <alignment horizontal="center" vertical="center"/>
      <protection locked="0"/>
    </xf>
    <xf numFmtId="0" fontId="141" fillId="2" borderId="220" xfId="21" applyFont="1" applyFill="1" applyBorder="1" applyProtection="1">
      <protection locked="0"/>
    </xf>
    <xf numFmtId="0" fontId="132" fillId="2" borderId="0" xfId="21" applyFont="1" applyFill="1" applyBorder="1" applyAlignment="1" applyProtection="1"/>
    <xf numFmtId="167" fontId="137" fillId="2" borderId="0" xfId="21" applyNumberFormat="1" applyFont="1" applyFill="1" applyBorder="1" applyAlignment="1" applyProtection="1">
      <alignment horizontal="center" vertical="center"/>
    </xf>
    <xf numFmtId="0" fontId="138" fillId="2" borderId="0" xfId="21" quotePrefix="1" applyFont="1" applyFill="1" applyBorder="1" applyAlignment="1" applyProtection="1">
      <alignment horizontal="center" vertical="center"/>
    </xf>
    <xf numFmtId="0" fontId="138" fillId="27" borderId="0" xfId="21" quotePrefix="1" applyFont="1" applyFill="1" applyBorder="1" applyAlignment="1" applyProtection="1">
      <alignment horizontal="center" vertical="center"/>
    </xf>
    <xf numFmtId="0" fontId="139" fillId="27" borderId="0" xfId="21" applyFont="1" applyFill="1" applyBorder="1" applyAlignment="1" applyProtection="1">
      <alignment horizontal="center" vertical="center"/>
    </xf>
    <xf numFmtId="0" fontId="136" fillId="2" borderId="0" xfId="21" applyFont="1" applyFill="1" applyBorder="1" applyProtection="1">
      <protection locked="0"/>
    </xf>
    <xf numFmtId="1" fontId="2" fillId="2" borderId="0" xfId="21" applyNumberFormat="1" applyFont="1" applyFill="1" applyBorder="1" applyAlignment="1" applyProtection="1">
      <alignment vertical="center"/>
    </xf>
    <xf numFmtId="0" fontId="43" fillId="25" borderId="56" xfId="21" applyFont="1" applyFill="1" applyBorder="1" applyAlignment="1" applyProtection="1">
      <alignment vertical="center" wrapText="1"/>
    </xf>
    <xf numFmtId="0" fontId="43" fillId="25" borderId="56" xfId="21" applyFont="1" applyFill="1" applyBorder="1" applyAlignment="1" applyProtection="1">
      <alignment vertical="center"/>
    </xf>
    <xf numFmtId="2" fontId="2" fillId="2" borderId="56" xfId="21" applyNumberFormat="1" applyFont="1" applyFill="1" applyBorder="1" applyAlignment="1" applyProtection="1">
      <alignment vertical="center"/>
    </xf>
    <xf numFmtId="1" fontId="2" fillId="2" borderId="56" xfId="21" applyNumberFormat="1" applyFont="1" applyFill="1" applyBorder="1" applyAlignment="1" applyProtection="1">
      <alignment vertical="center"/>
    </xf>
    <xf numFmtId="0" fontId="1" fillId="2" borderId="56" xfId="21" applyFont="1" applyFill="1" applyBorder="1" applyAlignment="1" applyProtection="1">
      <protection locked="0"/>
    </xf>
    <xf numFmtId="2" fontId="2" fillId="2" borderId="0" xfId="21" applyNumberFormat="1" applyFont="1" applyFill="1" applyBorder="1" applyAlignment="1" applyProtection="1">
      <alignment vertical="center"/>
    </xf>
    <xf numFmtId="0" fontId="126" fillId="2" borderId="220" xfId="21" applyFont="1" applyFill="1" applyBorder="1" applyAlignment="1" applyProtection="1">
      <alignment horizontal="center" vertical="center"/>
    </xf>
    <xf numFmtId="0" fontId="2" fillId="2" borderId="220" xfId="21" applyFont="1" applyFill="1" applyBorder="1" applyAlignment="1" applyProtection="1">
      <alignment horizontal="center" vertical="center"/>
    </xf>
    <xf numFmtId="0" fontId="2" fillId="2" borderId="220" xfId="21" applyFont="1" applyFill="1" applyBorder="1" applyAlignment="1" applyProtection="1">
      <alignment horizontal="center" vertical="center"/>
      <protection locked="0"/>
    </xf>
    <xf numFmtId="0" fontId="141" fillId="2" borderId="220" xfId="21" applyFont="1" applyFill="1" applyBorder="1" applyAlignment="1" applyProtection="1">
      <alignment horizontal="center"/>
      <protection locked="0"/>
    </xf>
    <xf numFmtId="0" fontId="2" fillId="2" borderId="14" xfId="21" applyFont="1" applyFill="1" applyBorder="1" applyAlignment="1" applyProtection="1">
      <alignment horizontal="center" vertical="center"/>
    </xf>
    <xf numFmtId="0" fontId="2" fillId="2" borderId="56" xfId="21" applyFont="1" applyFill="1" applyBorder="1" applyProtection="1">
      <protection locked="0"/>
    </xf>
    <xf numFmtId="0" fontId="2" fillId="2" borderId="0" xfId="21" applyFont="1" applyFill="1" applyBorder="1" applyProtection="1">
      <protection locked="0"/>
    </xf>
    <xf numFmtId="1" fontId="126" fillId="2" borderId="56" xfId="21" applyNumberFormat="1" applyFont="1" applyFill="1" applyBorder="1" applyAlignment="1" applyProtection="1">
      <alignment horizontal="center" vertical="center"/>
      <protection locked="0"/>
    </xf>
    <xf numFmtId="0" fontId="126" fillId="2" borderId="56" xfId="21" applyFont="1" applyFill="1" applyBorder="1" applyAlignment="1" applyProtection="1">
      <alignment horizontal="center"/>
      <protection locked="0"/>
    </xf>
    <xf numFmtId="0" fontId="126" fillId="2" borderId="56" xfId="21" applyFont="1" applyFill="1" applyBorder="1" applyProtection="1">
      <protection locked="0"/>
    </xf>
    <xf numFmtId="49" fontId="2" fillId="0" borderId="0" xfId="71" applyNumberFormat="1" applyFont="1" applyBorder="1" applyAlignment="1" applyProtection="1">
      <alignment vertical="center"/>
    </xf>
    <xf numFmtId="49" fontId="2" fillId="26" borderId="0" xfId="71" applyNumberFormat="1" applyFont="1" applyFill="1" applyBorder="1" applyAlignment="1" applyProtection="1">
      <alignment vertical="center"/>
    </xf>
    <xf numFmtId="0" fontId="1" fillId="0" borderId="0" xfId="21" applyFont="1" applyFill="1" applyBorder="1" applyAlignment="1" applyProtection="1">
      <alignment horizontal="left" vertical="center"/>
      <protection locked="0"/>
    </xf>
    <xf numFmtId="0" fontId="1" fillId="0" borderId="0" xfId="71" applyFont="1" applyFill="1" applyBorder="1" applyAlignment="1" applyProtection="1">
      <alignment vertical="center"/>
      <protection locked="0"/>
    </xf>
    <xf numFmtId="0" fontId="2" fillId="0" borderId="0" xfId="69" applyFont="1" applyBorder="1" applyAlignment="1" applyProtection="1">
      <alignment wrapText="1"/>
      <protection locked="0"/>
    </xf>
    <xf numFmtId="0" fontId="2" fillId="0" borderId="0" xfId="70" applyFont="1" applyFill="1" applyBorder="1" applyAlignment="1" applyProtection="1">
      <alignment vertical="center" wrapText="1"/>
      <protection locked="0"/>
    </xf>
    <xf numFmtId="0" fontId="1" fillId="0" borderId="13" xfId="71" applyFont="1" applyBorder="1" applyProtection="1">
      <protection locked="0"/>
    </xf>
    <xf numFmtId="0" fontId="1" fillId="0" borderId="0" xfId="71" applyFont="1" applyProtection="1">
      <protection locked="0"/>
    </xf>
    <xf numFmtId="0" fontId="1" fillId="0" borderId="19" xfId="71" applyFont="1" applyBorder="1" applyProtection="1">
      <protection locked="0"/>
    </xf>
    <xf numFmtId="0" fontId="1" fillId="0" borderId="15" xfId="71" applyFont="1" applyBorder="1" applyProtection="1">
      <protection locked="0"/>
    </xf>
    <xf numFmtId="0" fontId="4" fillId="0" borderId="0" xfId="21" applyFont="1" applyFill="1" applyProtection="1">
      <protection locked="0"/>
    </xf>
    <xf numFmtId="0" fontId="4" fillId="0" borderId="19" xfId="71" applyFont="1" applyFill="1" applyBorder="1" applyProtection="1"/>
    <xf numFmtId="0" fontId="3" fillId="26" borderId="0" xfId="71" applyFont="1" applyFill="1" applyBorder="1" applyAlignment="1" applyProtection="1">
      <alignment horizontal="center" vertical="center" wrapText="1"/>
    </xf>
    <xf numFmtId="0" fontId="4" fillId="26" borderId="0" xfId="71" applyFont="1" applyFill="1" applyBorder="1" applyProtection="1"/>
    <xf numFmtId="0" fontId="5" fillId="26" borderId="0" xfId="71" applyFont="1" applyFill="1" applyBorder="1" applyAlignment="1" applyProtection="1">
      <alignment horizontal="center"/>
    </xf>
    <xf numFmtId="0" fontId="4" fillId="26" borderId="0" xfId="71" applyFont="1" applyFill="1" applyBorder="1" applyAlignment="1" applyProtection="1">
      <alignment horizontal="center"/>
    </xf>
    <xf numFmtId="0" fontId="4" fillId="26" borderId="18" xfId="71" applyFont="1" applyFill="1" applyBorder="1" applyAlignment="1" applyProtection="1">
      <alignment horizontal="center"/>
    </xf>
    <xf numFmtId="0" fontId="4" fillId="0" borderId="0" xfId="71" applyFont="1" applyFill="1" applyProtection="1">
      <protection locked="0"/>
    </xf>
    <xf numFmtId="0" fontId="4" fillId="0" borderId="18" xfId="71" applyFont="1" applyFill="1" applyBorder="1" applyProtection="1"/>
    <xf numFmtId="0" fontId="4" fillId="26" borderId="17" xfId="71" applyFont="1" applyFill="1" applyBorder="1" applyAlignment="1" applyProtection="1">
      <alignment horizontal="center" vertical="center"/>
    </xf>
    <xf numFmtId="0" fontId="5" fillId="26" borderId="18" xfId="71" applyFont="1" applyFill="1" applyBorder="1" applyAlignment="1" applyProtection="1">
      <alignment horizontal="center" vertical="center"/>
    </xf>
    <xf numFmtId="0" fontId="4" fillId="26" borderId="224" xfId="71" applyFont="1" applyFill="1" applyBorder="1" applyAlignment="1" applyProtection="1">
      <alignment horizontal="center" vertical="center"/>
    </xf>
    <xf numFmtId="0" fontId="4" fillId="0" borderId="224" xfId="71" applyFont="1" applyFill="1" applyBorder="1" applyAlignment="1" applyProtection="1">
      <alignment horizontal="center" vertical="center" wrapText="1"/>
    </xf>
    <xf numFmtId="167" fontId="1" fillId="0" borderId="18" xfId="71" applyNumberFormat="1" applyFont="1" applyFill="1" applyBorder="1" applyAlignment="1" applyProtection="1">
      <alignment vertical="center"/>
    </xf>
    <xf numFmtId="0" fontId="4" fillId="0" borderId="56" xfId="71" applyFont="1" applyFill="1" applyBorder="1" applyAlignment="1" applyProtection="1">
      <alignment horizontal="center"/>
      <protection locked="0"/>
    </xf>
    <xf numFmtId="0" fontId="4" fillId="26" borderId="224" xfId="71" applyFont="1" applyFill="1" applyBorder="1" applyAlignment="1" applyProtection="1">
      <alignment horizontal="center" vertical="center" wrapText="1"/>
    </xf>
    <xf numFmtId="0" fontId="5" fillId="0" borderId="14" xfId="71" applyFont="1" applyFill="1" applyBorder="1" applyAlignment="1" applyProtection="1">
      <alignment horizontal="center" vertical="center" wrapText="1"/>
    </xf>
    <xf numFmtId="167" fontId="1" fillId="0" borderId="18" xfId="71" applyNumberFormat="1" applyFont="1" applyBorder="1" applyAlignment="1" applyProtection="1">
      <alignment vertical="center"/>
    </xf>
    <xf numFmtId="0" fontId="1" fillId="0" borderId="15" xfId="21" applyFont="1" applyFill="1" applyBorder="1" applyAlignment="1" applyProtection="1">
      <alignment vertical="center"/>
    </xf>
    <xf numFmtId="0" fontId="1" fillId="0" borderId="63" xfId="71" applyFont="1" applyFill="1" applyBorder="1" applyProtection="1"/>
    <xf numFmtId="0" fontId="1" fillId="0" borderId="0" xfId="71" applyFont="1" applyFill="1" applyBorder="1" applyProtection="1"/>
    <xf numFmtId="0" fontId="1" fillId="0" borderId="0" xfId="21" applyFont="1" applyFill="1" applyProtection="1">
      <protection locked="0"/>
    </xf>
    <xf numFmtId="0" fontId="2" fillId="0" borderId="0" xfId="21" applyFont="1" applyFill="1" applyProtection="1">
      <protection locked="0"/>
    </xf>
    <xf numFmtId="0" fontId="43" fillId="26" borderId="220" xfId="71" applyFont="1" applyFill="1" applyBorder="1" applyAlignment="1" applyProtection="1">
      <alignment vertical="center" wrapText="1"/>
    </xf>
    <xf numFmtId="0" fontId="2" fillId="2" borderId="220" xfId="150" applyFont="1" applyFill="1" applyBorder="1" applyAlignment="1" applyProtection="1">
      <alignment horizontal="left" vertical="center"/>
    </xf>
    <xf numFmtId="167" fontId="126" fillId="2" borderId="0" xfId="21" applyNumberFormat="1" applyFont="1" applyFill="1" applyBorder="1" applyAlignment="1" applyProtection="1">
      <alignment horizontal="center" vertical="center"/>
    </xf>
    <xf numFmtId="0" fontId="1" fillId="2" borderId="0" xfId="21" applyFill="1" applyProtection="1">
      <protection locked="0"/>
    </xf>
    <xf numFmtId="0" fontId="126" fillId="2" borderId="220" xfId="21" applyFont="1" applyFill="1" applyBorder="1" applyProtection="1">
      <protection locked="0"/>
    </xf>
    <xf numFmtId="0" fontId="127" fillId="2" borderId="220" xfId="21" applyFont="1" applyFill="1" applyBorder="1" applyAlignment="1" applyProtection="1">
      <alignment horizontal="center" vertical="center"/>
    </xf>
    <xf numFmtId="0" fontId="1" fillId="2" borderId="220" xfId="21" applyFont="1" applyFill="1" applyBorder="1" applyProtection="1">
      <protection locked="0"/>
    </xf>
    <xf numFmtId="0" fontId="2" fillId="2" borderId="220" xfId="21" applyFont="1" applyFill="1" applyBorder="1" applyProtection="1">
      <protection locked="0"/>
    </xf>
    <xf numFmtId="0" fontId="39" fillId="2" borderId="220" xfId="21" applyFont="1" applyFill="1" applyBorder="1" applyProtection="1">
      <protection locked="0"/>
    </xf>
    <xf numFmtId="1" fontId="12" fillId="2" borderId="0" xfId="21" applyNumberFormat="1" applyFont="1" applyFill="1" applyBorder="1" applyAlignment="1" applyProtection="1">
      <alignment horizontal="center" vertical="center"/>
      <protection locked="0"/>
    </xf>
    <xf numFmtId="1" fontId="150" fillId="2" borderId="56" xfId="21" applyNumberFormat="1" applyFont="1" applyFill="1" applyBorder="1" applyAlignment="1" applyProtection="1">
      <alignment horizontal="center" vertical="center"/>
      <protection locked="0"/>
    </xf>
    <xf numFmtId="1" fontId="12" fillId="2" borderId="56" xfId="21" applyNumberFormat="1" applyFont="1" applyFill="1" applyBorder="1" applyAlignment="1" applyProtection="1">
      <alignment horizontal="center" vertical="center"/>
      <protection locked="0"/>
    </xf>
    <xf numFmtId="0" fontId="141" fillId="2" borderId="0" xfId="21" applyFont="1" applyFill="1" applyProtection="1"/>
    <xf numFmtId="1" fontId="150" fillId="27" borderId="56" xfId="21" applyNumberFormat="1" applyFont="1" applyFill="1" applyBorder="1" applyAlignment="1" applyProtection="1">
      <alignment horizontal="center" vertical="center"/>
      <protection locked="0"/>
    </xf>
    <xf numFmtId="1" fontId="12" fillId="27" borderId="56" xfId="21" applyNumberFormat="1" applyFont="1" applyFill="1" applyBorder="1" applyAlignment="1" applyProtection="1">
      <alignment horizontal="center" vertical="center"/>
      <protection locked="0"/>
    </xf>
    <xf numFmtId="0" fontId="12" fillId="2" borderId="56" xfId="21" applyFont="1" applyFill="1" applyBorder="1" applyAlignment="1" applyProtection="1">
      <alignment horizontal="center" vertical="center"/>
      <protection locked="0"/>
    </xf>
    <xf numFmtId="0" fontId="12" fillId="2" borderId="56" xfId="21" applyFont="1" applyFill="1" applyBorder="1" applyProtection="1">
      <protection locked="0"/>
    </xf>
    <xf numFmtId="0" fontId="43" fillId="2" borderId="15" xfId="21" applyFont="1" applyFill="1" applyBorder="1" applyAlignment="1" applyProtection="1">
      <alignment vertical="center"/>
      <protection locked="0"/>
    </xf>
    <xf numFmtId="0" fontId="43" fillId="2" borderId="220" xfId="21" applyFont="1" applyFill="1" applyBorder="1" applyAlignment="1" applyProtection="1">
      <alignment vertical="center"/>
      <protection locked="0"/>
    </xf>
    <xf numFmtId="0" fontId="43" fillId="2" borderId="14" xfId="21" applyFont="1" applyFill="1" applyBorder="1" applyAlignment="1" applyProtection="1">
      <alignment vertical="center"/>
      <protection locked="0"/>
    </xf>
    <xf numFmtId="167" fontId="126" fillId="2" borderId="56" xfId="21" applyNumberFormat="1" applyFont="1" applyFill="1" applyBorder="1" applyProtection="1"/>
    <xf numFmtId="2" fontId="126" fillId="2" borderId="56" xfId="21" applyNumberFormat="1" applyFont="1" applyFill="1" applyBorder="1" applyProtection="1"/>
    <xf numFmtId="0" fontId="127" fillId="2" borderId="56" xfId="21" applyFont="1" applyFill="1" applyBorder="1" applyProtection="1"/>
    <xf numFmtId="0" fontId="4" fillId="0" borderId="19" xfId="71" applyFont="1" applyFill="1" applyBorder="1" applyAlignment="1" applyProtection="1">
      <alignment horizontal="left"/>
    </xf>
    <xf numFmtId="0" fontId="4" fillId="0" borderId="18" xfId="71" applyFont="1" applyFill="1" applyBorder="1" applyAlignment="1" applyProtection="1">
      <alignment horizontal="left"/>
    </xf>
    <xf numFmtId="0" fontId="4" fillId="26" borderId="224" xfId="71" applyFont="1" applyFill="1" applyBorder="1" applyAlignment="1" applyProtection="1">
      <alignment horizontal="left" vertical="center"/>
    </xf>
    <xf numFmtId="0" fontId="5" fillId="26" borderId="18" xfId="71" applyFont="1" applyFill="1" applyBorder="1" applyAlignment="1" applyProtection="1">
      <alignment horizontal="left" vertical="center"/>
    </xf>
    <xf numFmtId="0" fontId="4" fillId="0" borderId="0" xfId="71" applyFont="1" applyFill="1" applyAlignment="1" applyProtection="1">
      <alignment horizontal="left"/>
      <protection locked="0"/>
    </xf>
    <xf numFmtId="0" fontId="4" fillId="0" borderId="56" xfId="71" applyFont="1" applyFill="1" applyBorder="1" applyAlignment="1" applyProtection="1">
      <alignment horizontal="left"/>
      <protection locked="0"/>
    </xf>
    <xf numFmtId="0" fontId="4" fillId="2" borderId="0" xfId="21" applyFont="1" applyFill="1" applyBorder="1" applyProtection="1">
      <protection locked="0"/>
    </xf>
    <xf numFmtId="0" fontId="128" fillId="26" borderId="11" xfId="208" applyFont="1" applyFill="1" applyBorder="1" applyAlignment="1">
      <alignment vertical="center" wrapText="1"/>
    </xf>
    <xf numFmtId="0" fontId="128" fillId="26" borderId="10" xfId="208" applyFont="1" applyFill="1" applyBorder="1" applyAlignment="1">
      <alignment vertical="center" wrapText="1"/>
    </xf>
    <xf numFmtId="0" fontId="128" fillId="26" borderId="11" xfId="208" applyFont="1" applyFill="1" applyBorder="1" applyAlignment="1" applyProtection="1">
      <alignment vertical="center" wrapText="1"/>
    </xf>
    <xf numFmtId="0" fontId="128" fillId="26" borderId="10" xfId="208" applyFont="1" applyFill="1" applyBorder="1" applyAlignment="1" applyProtection="1">
      <alignment vertical="center" wrapText="1"/>
    </xf>
    <xf numFmtId="0" fontId="128" fillId="26" borderId="11" xfId="208" applyFont="1" applyFill="1" applyBorder="1" applyAlignment="1" applyProtection="1">
      <alignment horizontal="center" vertical="center" wrapText="1"/>
    </xf>
    <xf numFmtId="0" fontId="128" fillId="26" borderId="11" xfId="208" applyFont="1" applyFill="1" applyBorder="1" applyAlignment="1">
      <alignment horizontal="center" vertical="center" wrapText="1"/>
    </xf>
    <xf numFmtId="0" fontId="152" fillId="2" borderId="56" xfId="21" applyFont="1" applyFill="1" applyBorder="1" applyAlignment="1" applyProtection="1"/>
    <xf numFmtId="1" fontId="4" fillId="2" borderId="0" xfId="21" applyNumberFormat="1" applyFont="1" applyFill="1" applyBorder="1" applyAlignment="1" applyProtection="1">
      <alignment horizontal="center" vertical="center"/>
      <protection locked="0"/>
    </xf>
    <xf numFmtId="167" fontId="4" fillId="2" borderId="0" xfId="21" applyNumberFormat="1" applyFont="1" applyFill="1" applyBorder="1" applyAlignment="1" applyProtection="1">
      <alignment horizontal="center" vertical="center"/>
      <protection locked="0"/>
    </xf>
    <xf numFmtId="167" fontId="2" fillId="2" borderId="0" xfId="21" applyNumberFormat="1" applyFont="1" applyFill="1" applyBorder="1" applyAlignment="1" applyProtection="1">
      <alignment horizontal="center" vertical="center"/>
      <protection locked="0"/>
    </xf>
    <xf numFmtId="1" fontId="126" fillId="2" borderId="0" xfId="21" applyNumberFormat="1" applyFont="1" applyFill="1" applyBorder="1" applyAlignment="1" applyProtection="1">
      <alignment horizontal="center" vertical="center"/>
    </xf>
    <xf numFmtId="0" fontId="5" fillId="26" borderId="34" xfId="0" applyFont="1" applyFill="1" applyBorder="1" applyAlignment="1" applyProtection="1">
      <alignment vertical="center"/>
    </xf>
    <xf numFmtId="0" fontId="5" fillId="2" borderId="39" xfId="21" applyFont="1" applyFill="1" applyBorder="1" applyAlignment="1" applyProtection="1"/>
    <xf numFmtId="0" fontId="2" fillId="2" borderId="230" xfId="21" applyFont="1" applyFill="1" applyBorder="1" applyAlignment="1" applyProtection="1">
      <alignment horizontal="center" vertical="center"/>
    </xf>
    <xf numFmtId="0" fontId="1" fillId="2" borderId="56" xfId="21" applyFont="1" applyFill="1" applyBorder="1" applyProtection="1">
      <protection locked="0"/>
    </xf>
    <xf numFmtId="1" fontId="1" fillId="2" borderId="56" xfId="21" applyNumberFormat="1" applyFont="1" applyFill="1" applyBorder="1" applyProtection="1">
      <protection locked="0"/>
    </xf>
    <xf numFmtId="1" fontId="1" fillId="2" borderId="0" xfId="21" applyNumberFormat="1" applyFill="1" applyProtection="1">
      <protection locked="0"/>
    </xf>
    <xf numFmtId="1" fontId="1" fillId="2" borderId="0" xfId="21" applyNumberFormat="1" applyFont="1" applyFill="1" applyProtection="1">
      <protection locked="0"/>
    </xf>
    <xf numFmtId="0" fontId="126" fillId="2" borderId="0" xfId="21" applyNumberFormat="1" applyFont="1" applyFill="1" applyBorder="1" applyAlignment="1" applyProtection="1">
      <alignment horizontal="center" vertical="center"/>
    </xf>
    <xf numFmtId="172" fontId="150" fillId="26" borderId="56" xfId="71" applyNumberFormat="1" applyFont="1" applyFill="1" applyBorder="1" applyAlignment="1" applyProtection="1">
      <alignment horizontal="center" vertical="center" wrapText="1"/>
    </xf>
    <xf numFmtId="172" fontId="150" fillId="26" borderId="56" xfId="71" applyNumberFormat="1" applyFont="1" applyFill="1" applyBorder="1" applyAlignment="1" applyProtection="1">
      <alignment vertical="center" wrapText="1"/>
    </xf>
    <xf numFmtId="12" fontId="150" fillId="26" borderId="56" xfId="71" applyNumberFormat="1" applyFont="1" applyFill="1" applyBorder="1" applyAlignment="1" applyProtection="1">
      <alignment vertical="center" wrapText="1"/>
    </xf>
    <xf numFmtId="12" fontId="147" fillId="26" borderId="56" xfId="71" applyNumberFormat="1" applyFont="1" applyFill="1" applyBorder="1" applyAlignment="1" applyProtection="1">
      <alignment vertical="center" wrapText="1"/>
    </xf>
    <xf numFmtId="0" fontId="43" fillId="2" borderId="232" xfId="21" applyFont="1" applyFill="1" applyBorder="1" applyAlignment="1" applyProtection="1">
      <alignment vertical="center"/>
      <protection locked="0"/>
    </xf>
    <xf numFmtId="0" fontId="43" fillId="2" borderId="230" xfId="21" applyFont="1" applyFill="1" applyBorder="1" applyAlignment="1" applyProtection="1">
      <alignment vertical="center"/>
      <protection locked="0"/>
    </xf>
    <xf numFmtId="0" fontId="43" fillId="2" borderId="231" xfId="21" applyFont="1" applyFill="1" applyBorder="1" applyAlignment="1" applyProtection="1">
      <alignment vertical="center"/>
      <protection locked="0"/>
    </xf>
    <xf numFmtId="0" fontId="128" fillId="26" borderId="56" xfId="208" quotePrefix="1" applyFont="1" applyFill="1" applyBorder="1" applyAlignment="1" applyProtection="1">
      <alignment horizontal="center" vertical="center" wrapText="1"/>
    </xf>
    <xf numFmtId="0" fontId="4" fillId="2" borderId="10" xfId="21" applyFont="1" applyFill="1" applyBorder="1" applyAlignment="1" applyProtection="1">
      <alignment horizontal="left" vertical="center"/>
    </xf>
    <xf numFmtId="0" fontId="4" fillId="2" borderId="11" xfId="21" applyFont="1" applyFill="1" applyBorder="1" applyAlignment="1" applyProtection="1">
      <alignment vertical="center"/>
    </xf>
    <xf numFmtId="0" fontId="4" fillId="2" borderId="10" xfId="21" applyFont="1" applyFill="1" applyBorder="1" applyAlignment="1" applyProtection="1">
      <alignment vertical="center"/>
    </xf>
    <xf numFmtId="15" fontId="15" fillId="2" borderId="29" xfId="21" applyNumberFormat="1" applyFont="1" applyFill="1" applyBorder="1" applyAlignment="1" applyProtection="1">
      <alignment horizontal="left"/>
    </xf>
    <xf numFmtId="167" fontId="15" fillId="2" borderId="61" xfId="21" applyNumberFormat="1" applyFont="1" applyFill="1" applyBorder="1" applyAlignment="1" applyProtection="1">
      <alignment horizontal="left"/>
    </xf>
    <xf numFmtId="1" fontId="12" fillId="2" borderId="62" xfId="21" applyNumberFormat="1" applyFont="1" applyFill="1" applyBorder="1" applyAlignment="1" applyProtection="1"/>
    <xf numFmtId="0" fontId="5" fillId="26" borderId="232" xfId="0" applyFont="1" applyFill="1" applyBorder="1" applyAlignment="1" applyProtection="1">
      <alignment vertical="center"/>
    </xf>
    <xf numFmtId="0" fontId="5" fillId="26" borderId="230" xfId="0" applyFont="1" applyFill="1" applyBorder="1" applyAlignment="1" applyProtection="1">
      <alignment vertical="center"/>
    </xf>
    <xf numFmtId="0" fontId="3" fillId="2" borderId="0" xfId="0" applyFont="1" applyFill="1" applyBorder="1" applyAlignment="1" applyProtection="1">
      <alignment horizontal="center" vertical="center" wrapText="1"/>
    </xf>
    <xf numFmtId="0" fontId="5" fillId="26" borderId="19" xfId="0" applyFont="1" applyFill="1" applyBorder="1" applyAlignment="1" applyProtection="1">
      <alignment vertical="center"/>
    </xf>
    <xf numFmtId="0" fontId="5" fillId="26" borderId="0" xfId="0" applyFont="1" applyFill="1" applyBorder="1" applyAlignment="1" applyProtection="1">
      <alignment vertical="center"/>
    </xf>
    <xf numFmtId="0" fontId="5" fillId="26" borderId="121" xfId="0" applyFont="1" applyFill="1" applyBorder="1" applyAlignment="1" applyProtection="1">
      <alignment vertical="center"/>
    </xf>
    <xf numFmtId="0" fontId="5" fillId="26" borderId="39" xfId="0" applyFont="1" applyFill="1" applyBorder="1" applyAlignment="1" applyProtection="1">
      <alignment vertical="center"/>
    </xf>
    <xf numFmtId="0" fontId="102" fillId="2" borderId="0" xfId="21" applyNumberFormat="1" applyFont="1" applyFill="1" applyBorder="1" applyAlignment="1" applyProtection="1">
      <alignment horizontal="center" vertical="center"/>
    </xf>
    <xf numFmtId="167" fontId="4" fillId="2" borderId="0" xfId="21" applyNumberFormat="1" applyFont="1" applyFill="1" applyBorder="1" applyAlignment="1" applyProtection="1">
      <alignment horizontal="center" vertical="center"/>
      <protection locked="0"/>
    </xf>
    <xf numFmtId="0" fontId="47" fillId="0" borderId="0" xfId="70" applyFont="1" applyFill="1" applyBorder="1" applyAlignment="1" applyProtection="1">
      <alignment horizontal="center" wrapText="1"/>
    </xf>
    <xf numFmtId="0" fontId="5" fillId="2" borderId="0" xfId="21" applyFont="1" applyFill="1" applyBorder="1" applyAlignment="1" applyProtection="1"/>
    <xf numFmtId="0" fontId="5" fillId="0" borderId="29" xfId="21" applyFont="1" applyFill="1" applyBorder="1" applyAlignment="1" applyProtection="1">
      <protection locked="0"/>
    </xf>
    <xf numFmtId="0" fontId="4" fillId="0" borderId="61" xfId="21" applyFont="1" applyFill="1" applyBorder="1" applyAlignment="1" applyProtection="1">
      <protection locked="0"/>
    </xf>
    <xf numFmtId="0" fontId="1" fillId="26" borderId="61" xfId="21" applyFont="1" applyFill="1" applyBorder="1" applyAlignment="1" applyProtection="1">
      <protection locked="0"/>
    </xf>
    <xf numFmtId="0" fontId="1" fillId="0" borderId="61" xfId="21" applyFont="1" applyFill="1" applyBorder="1" applyAlignment="1" applyProtection="1">
      <protection locked="0"/>
    </xf>
    <xf numFmtId="0" fontId="44" fillId="0" borderId="62" xfId="21" applyFont="1" applyFill="1" applyBorder="1" applyAlignment="1" applyProtection="1">
      <protection locked="0"/>
    </xf>
    <xf numFmtId="0" fontId="3" fillId="2" borderId="0" xfId="0" applyFont="1" applyFill="1" applyBorder="1" applyAlignment="1" applyProtection="1">
      <alignment horizontal="center" vertical="center"/>
    </xf>
    <xf numFmtId="0" fontId="153" fillId="2" borderId="0" xfId="0" applyFont="1" applyFill="1" applyBorder="1" applyAlignment="1" applyProtection="1">
      <alignment horizontal="left" vertical="center" wrapText="1"/>
    </xf>
    <xf numFmtId="168" fontId="2" fillId="2" borderId="18" xfId="21" applyNumberFormat="1" applyFont="1" applyFill="1" applyBorder="1" applyAlignment="1" applyProtection="1">
      <alignment horizontal="left"/>
      <protection locked="0"/>
    </xf>
    <xf numFmtId="0" fontId="126" fillId="26" borderId="0" xfId="71" applyFont="1" applyFill="1" applyBorder="1" applyAlignment="1" applyProtection="1">
      <alignment horizontal="left" vertical="top" wrapText="1"/>
      <protection locked="0"/>
    </xf>
    <xf numFmtId="0" fontId="126" fillId="0" borderId="0" xfId="71" applyFont="1" applyBorder="1" applyAlignment="1" applyProtection="1">
      <alignment horizontal="center"/>
      <protection locked="0"/>
    </xf>
    <xf numFmtId="0" fontId="154" fillId="25" borderId="0" xfId="68" applyFont="1" applyFill="1" applyBorder="1" applyAlignment="1" applyProtection="1">
      <alignment horizontal="center" vertical="center"/>
    </xf>
    <xf numFmtId="0" fontId="47" fillId="0" borderId="0" xfId="69" applyFont="1" applyBorder="1" applyAlignment="1" applyProtection="1">
      <alignment horizontal="center" vertical="center" wrapText="1"/>
    </xf>
    <xf numFmtId="0" fontId="1" fillId="2" borderId="0" xfId="0" applyFont="1" applyFill="1" applyBorder="1" applyAlignment="1" applyProtection="1">
      <alignment horizontal="center"/>
      <protection locked="0"/>
    </xf>
    <xf numFmtId="0" fontId="43" fillId="2" borderId="0" xfId="21" applyFont="1" applyFill="1" applyBorder="1" applyAlignment="1" applyProtection="1">
      <alignment vertical="center"/>
      <protection locked="0"/>
    </xf>
    <xf numFmtId="0" fontId="152" fillId="2" borderId="0" xfId="21" applyFont="1" applyFill="1" applyBorder="1" applyAlignment="1" applyProtection="1"/>
    <xf numFmtId="0" fontId="153" fillId="2" borderId="15" xfId="21" applyFont="1" applyFill="1" applyBorder="1" applyAlignment="1" applyProtection="1">
      <alignment horizontal="left" vertical="center"/>
    </xf>
    <xf numFmtId="0" fontId="14" fillId="2" borderId="56" xfId="21" applyFont="1" applyFill="1" applyBorder="1" applyAlignment="1" applyProtection="1">
      <alignment horizontal="right"/>
      <protection locked="0"/>
    </xf>
    <xf numFmtId="168" fontId="2" fillId="2" borderId="0" xfId="21" applyNumberFormat="1" applyFont="1" applyFill="1" applyBorder="1" applyAlignment="1" applyProtection="1">
      <alignment horizontal="left"/>
      <protection locked="0"/>
    </xf>
    <xf numFmtId="0" fontId="2" fillId="26" borderId="0" xfId="0" applyFont="1" applyFill="1" applyBorder="1" applyAlignment="1" applyProtection="1">
      <alignment vertical="center"/>
      <protection locked="0"/>
    </xf>
    <xf numFmtId="0" fontId="126" fillId="0" borderId="0" xfId="0" applyFont="1" applyBorder="1" applyAlignment="1" applyProtection="1">
      <protection locked="0"/>
    </xf>
    <xf numFmtId="0" fontId="2" fillId="26" borderId="34" xfId="544" applyFont="1" applyFill="1" applyBorder="1" applyAlignment="1" applyProtection="1">
      <alignment vertical="center"/>
      <protection locked="0"/>
    </xf>
    <xf numFmtId="0" fontId="2" fillId="26" borderId="107" xfId="544" applyFont="1" applyFill="1" applyBorder="1" applyAlignment="1" applyProtection="1">
      <alignment vertical="center"/>
      <protection locked="0"/>
    </xf>
    <xf numFmtId="0" fontId="2" fillId="26" borderId="0" xfId="0" applyFont="1" applyFill="1" applyBorder="1" applyAlignment="1" applyProtection="1">
      <alignment vertical="center" wrapText="1"/>
      <protection locked="0"/>
    </xf>
    <xf numFmtId="168" fontId="2" fillId="26" borderId="0" xfId="0" applyNumberFormat="1" applyFont="1" applyFill="1" applyBorder="1" applyAlignment="1" applyProtection="1">
      <alignment vertical="center"/>
      <protection locked="0"/>
    </xf>
    <xf numFmtId="168" fontId="2" fillId="26" borderId="18" xfId="0" applyNumberFormat="1" applyFont="1" applyFill="1" applyBorder="1" applyAlignment="1" applyProtection="1">
      <alignment vertical="center"/>
      <protection locked="0"/>
    </xf>
    <xf numFmtId="168" fontId="2" fillId="26" borderId="0" xfId="0" applyNumberFormat="1" applyFont="1" applyFill="1" applyBorder="1" applyAlignment="1" applyProtection="1">
      <alignment vertical="center" wrapText="1"/>
      <protection locked="0"/>
    </xf>
    <xf numFmtId="168" fontId="2" fillId="26" borderId="18" xfId="0" applyNumberFormat="1" applyFont="1" applyFill="1" applyBorder="1" applyAlignment="1" applyProtection="1">
      <alignment vertical="center" wrapText="1"/>
      <protection locked="0"/>
    </xf>
    <xf numFmtId="0" fontId="2" fillId="26" borderId="39" xfId="0" applyFont="1" applyFill="1" applyBorder="1" applyAlignment="1" applyProtection="1">
      <alignment vertical="center"/>
      <protection locked="0"/>
    </xf>
    <xf numFmtId="168" fontId="2" fillId="2" borderId="39" xfId="21" applyNumberFormat="1" applyFont="1" applyFill="1" applyBorder="1" applyAlignment="1" applyProtection="1">
      <protection locked="0"/>
    </xf>
    <xf numFmtId="168" fontId="2" fillId="2" borderId="122" xfId="21" applyNumberFormat="1" applyFont="1" applyFill="1" applyBorder="1" applyAlignment="1" applyProtection="1">
      <protection locked="0"/>
    </xf>
    <xf numFmtId="0" fontId="2" fillId="2" borderId="230" xfId="21" applyFont="1" applyFill="1" applyBorder="1" applyAlignment="1">
      <alignment horizontal="center" vertical="center"/>
    </xf>
    <xf numFmtId="0" fontId="2" fillId="2" borderId="18" xfId="21" applyFont="1" applyFill="1" applyBorder="1" applyAlignment="1">
      <alignment horizontal="center" vertical="center"/>
    </xf>
    <xf numFmtId="2" fontId="2" fillId="2" borderId="0" xfId="21" applyNumberFormat="1" applyFont="1" applyFill="1" applyBorder="1" applyAlignment="1">
      <alignment horizontal="center" vertical="center"/>
    </xf>
    <xf numFmtId="2" fontId="2" fillId="2" borderId="18" xfId="21" applyNumberFormat="1" applyFont="1" applyFill="1" applyBorder="1" applyAlignment="1">
      <alignment horizontal="center" vertical="center"/>
    </xf>
    <xf numFmtId="2" fontId="126" fillId="2" borderId="0" xfId="21" applyNumberFormat="1" applyFont="1" applyFill="1" applyBorder="1" applyAlignment="1">
      <alignment horizontal="center" vertical="center"/>
    </xf>
    <xf numFmtId="2" fontId="126" fillId="2" borderId="18" xfId="21" applyNumberFormat="1" applyFont="1" applyFill="1" applyBorder="1" applyAlignment="1">
      <alignment horizontal="center" vertical="center"/>
    </xf>
    <xf numFmtId="0" fontId="126" fillId="2" borderId="0" xfId="21" applyFont="1" applyFill="1" applyBorder="1" applyAlignment="1">
      <alignment horizontal="center" vertical="center"/>
    </xf>
    <xf numFmtId="0" fontId="126" fillId="2" borderId="18" xfId="21" applyFont="1" applyFill="1" applyBorder="1" applyAlignment="1">
      <alignment horizontal="center" vertical="center"/>
    </xf>
    <xf numFmtId="0" fontId="2" fillId="2" borderId="0" xfId="21" applyFont="1" applyFill="1" applyBorder="1" applyAlignment="1">
      <alignment horizontal="center" vertical="center"/>
    </xf>
    <xf numFmtId="0" fontId="2" fillId="2" borderId="0" xfId="21" quotePrefix="1" applyFont="1" applyFill="1" applyAlignment="1">
      <alignment horizontal="center" vertical="center"/>
    </xf>
    <xf numFmtId="0" fontId="2" fillId="2" borderId="0" xfId="21" quotePrefix="1" applyFont="1" applyFill="1" applyBorder="1" applyAlignment="1">
      <alignment horizontal="center" vertical="center"/>
    </xf>
    <xf numFmtId="0" fontId="2" fillId="2" borderId="0" xfId="21" applyFont="1" applyFill="1"/>
    <xf numFmtId="0" fontId="2" fillId="2" borderId="0" xfId="21" applyFont="1" applyFill="1" applyAlignment="1">
      <alignment horizontal="center" vertical="center"/>
    </xf>
    <xf numFmtId="0" fontId="1" fillId="2" borderId="0" xfId="21" quotePrefix="1" applyFill="1" applyAlignment="1" applyProtection="1">
      <alignment horizontal="center"/>
      <protection locked="0"/>
    </xf>
    <xf numFmtId="0" fontId="2" fillId="2" borderId="0" xfId="21" applyFont="1" applyFill="1" applyAlignment="1">
      <alignment horizontal="center"/>
    </xf>
    <xf numFmtId="0" fontId="5" fillId="26" borderId="72" xfId="71" applyFont="1" applyFill="1" applyBorder="1" applyAlignment="1" applyProtection="1">
      <alignment vertical="top" wrapText="1"/>
    </xf>
    <xf numFmtId="0" fontId="126" fillId="26" borderId="107" xfId="71" applyFont="1" applyFill="1" applyBorder="1" applyAlignment="1" applyProtection="1">
      <alignment vertical="top" wrapText="1"/>
      <protection locked="0"/>
    </xf>
    <xf numFmtId="0" fontId="126" fillId="2" borderId="56" xfId="21" applyNumberFormat="1" applyFont="1" applyFill="1" applyBorder="1" applyProtection="1"/>
    <xf numFmtId="0" fontId="102" fillId="0" borderId="137" xfId="72" applyFont="1" applyBorder="1" applyAlignment="1" applyProtection="1">
      <alignment horizontal="center" vertical="center"/>
      <protection locked="0"/>
    </xf>
    <xf numFmtId="0" fontId="102" fillId="0" borderId="138" xfId="72" applyFont="1" applyBorder="1" applyAlignment="1" applyProtection="1">
      <alignment horizontal="center" vertical="center"/>
      <protection locked="0"/>
    </xf>
    <xf numFmtId="0" fontId="102" fillId="0" borderId="139" xfId="72" applyFont="1" applyBorder="1" applyAlignment="1" applyProtection="1">
      <alignment horizontal="center" vertical="center"/>
      <protection locked="0"/>
    </xf>
    <xf numFmtId="0" fontId="2" fillId="26" borderId="0" xfId="72" applyFont="1" applyFill="1" applyBorder="1" applyAlignment="1" applyProtection="1">
      <alignment horizontal="left" vertical="center"/>
    </xf>
    <xf numFmtId="168" fontId="2" fillId="2" borderId="0" xfId="72" applyNumberFormat="1" applyFont="1" applyFill="1" applyBorder="1" applyAlignment="1" applyProtection="1">
      <alignment horizontal="left" vertical="center"/>
    </xf>
    <xf numFmtId="168" fontId="2" fillId="2" borderId="18" xfId="72" applyNumberFormat="1" applyFont="1" applyFill="1" applyBorder="1" applyAlignment="1" applyProtection="1">
      <alignment horizontal="left" vertical="center"/>
    </xf>
    <xf numFmtId="0" fontId="102" fillId="0" borderId="144" xfId="72" applyFont="1" applyBorder="1" applyAlignment="1" applyProtection="1">
      <alignment horizontal="center" vertical="center"/>
      <protection locked="0"/>
    </xf>
    <xf numFmtId="0" fontId="102" fillId="0" borderId="145" xfId="72" applyFont="1" applyBorder="1" applyAlignment="1" applyProtection="1">
      <alignment horizontal="center" vertical="center"/>
      <protection locked="0"/>
    </xf>
    <xf numFmtId="0" fontId="102" fillId="0" borderId="146" xfId="72" applyFont="1" applyBorder="1" applyAlignment="1" applyProtection="1">
      <alignment horizontal="center" vertical="center"/>
      <protection locked="0"/>
    </xf>
    <xf numFmtId="0" fontId="107" fillId="0" borderId="144" xfId="72" applyFont="1" applyBorder="1" applyAlignment="1" applyProtection="1">
      <alignment horizontal="center" vertical="center"/>
      <protection locked="0"/>
    </xf>
    <xf numFmtId="0" fontId="107" fillId="0" borderId="145" xfId="72" applyFont="1" applyBorder="1" applyAlignment="1" applyProtection="1">
      <alignment horizontal="center" vertical="center"/>
      <protection locked="0"/>
    </xf>
    <xf numFmtId="0" fontId="107" fillId="0" borderId="146" xfId="72" applyFont="1" applyBorder="1" applyAlignment="1" applyProtection="1">
      <alignment horizontal="center" vertical="center"/>
      <protection locked="0"/>
    </xf>
    <xf numFmtId="0" fontId="5" fillId="25" borderId="15" xfId="72" applyFont="1" applyFill="1" applyBorder="1" applyAlignment="1" applyProtection="1">
      <alignment horizontal="center" vertical="center"/>
    </xf>
    <xf numFmtId="0" fontId="5" fillId="25" borderId="16" xfId="72" applyFont="1" applyFill="1" applyBorder="1" applyAlignment="1" applyProtection="1">
      <alignment horizontal="center" vertical="center"/>
    </xf>
    <xf numFmtId="0" fontId="5" fillId="25" borderId="14" xfId="72" applyFont="1" applyFill="1" applyBorder="1" applyAlignment="1" applyProtection="1">
      <alignment horizontal="center" vertical="center"/>
    </xf>
    <xf numFmtId="0" fontId="5" fillId="25" borderId="11" xfId="72" applyFont="1" applyFill="1" applyBorder="1" applyAlignment="1" applyProtection="1">
      <alignment horizontal="center" vertical="center" wrapText="1"/>
    </xf>
    <xf numFmtId="0" fontId="5" fillId="25" borderId="10" xfId="72" applyFont="1" applyFill="1" applyBorder="1" applyAlignment="1" applyProtection="1">
      <alignment horizontal="center" vertical="center" wrapText="1"/>
    </xf>
    <xf numFmtId="0" fontId="5" fillId="25" borderId="11" xfId="72" applyFont="1" applyFill="1" applyBorder="1" applyAlignment="1" applyProtection="1">
      <alignment horizontal="center" vertical="center"/>
    </xf>
    <xf numFmtId="0" fontId="5" fillId="25" borderId="10" xfId="72" applyFont="1" applyFill="1" applyBorder="1" applyAlignment="1" applyProtection="1">
      <alignment horizontal="center" vertical="center"/>
    </xf>
    <xf numFmtId="0" fontId="5" fillId="25" borderId="9" xfId="72" applyFont="1" applyFill="1" applyBorder="1" applyAlignment="1" applyProtection="1">
      <alignment horizontal="center" vertical="center"/>
    </xf>
    <xf numFmtId="0" fontId="5" fillId="25" borderId="13" xfId="72" applyFont="1" applyFill="1" applyBorder="1" applyAlignment="1" applyProtection="1">
      <alignment horizontal="center" vertical="center"/>
    </xf>
    <xf numFmtId="0" fontId="5" fillId="25" borderId="12" xfId="72" applyFont="1" applyFill="1" applyBorder="1" applyAlignment="1" applyProtection="1">
      <alignment horizontal="center" vertical="center"/>
    </xf>
    <xf numFmtId="0" fontId="5" fillId="25" borderId="17" xfId="72" applyFont="1" applyFill="1" applyBorder="1" applyAlignment="1" applyProtection="1">
      <alignment horizontal="center" vertical="center"/>
    </xf>
    <xf numFmtId="0" fontId="2" fillId="0" borderId="137" xfId="72" applyFont="1" applyBorder="1" applyAlignment="1" applyProtection="1">
      <alignment horizontal="left" vertical="center"/>
    </xf>
    <xf numFmtId="0" fontId="2" fillId="0" borderId="138" xfId="72" applyFont="1" applyBorder="1" applyAlignment="1" applyProtection="1">
      <alignment horizontal="left" vertical="center"/>
    </xf>
    <xf numFmtId="0" fontId="45" fillId="25" borderId="45" xfId="68" applyFont="1" applyFill="1" applyBorder="1" applyAlignment="1" applyProtection="1">
      <alignment horizontal="center" vertical="center"/>
    </xf>
    <xf numFmtId="0" fontId="47" fillId="0" borderId="43" xfId="69" applyFont="1" applyBorder="1" applyAlignment="1" applyProtection="1">
      <alignment horizontal="center" wrapText="1"/>
    </xf>
    <xf numFmtId="0" fontId="47" fillId="26" borderId="0" xfId="70" applyFont="1" applyFill="1" applyBorder="1" applyAlignment="1" applyProtection="1">
      <alignment horizontal="center" vertical="center" wrapText="1"/>
    </xf>
    <xf numFmtId="0" fontId="102" fillId="0" borderId="13" xfId="72" applyFont="1" applyBorder="1" applyAlignment="1" applyProtection="1">
      <alignment horizontal="left" vertical="center"/>
    </xf>
    <xf numFmtId="0" fontId="102" fillId="0" borderId="12" xfId="72" applyFont="1" applyBorder="1" applyAlignment="1" applyProtection="1">
      <alignment horizontal="left" vertical="center"/>
    </xf>
    <xf numFmtId="0" fontId="102" fillId="0" borderId="17" xfId="72" applyFont="1" applyBorder="1" applyAlignment="1" applyProtection="1">
      <alignment horizontal="left" vertical="center"/>
    </xf>
    <xf numFmtId="0" fontId="105" fillId="0" borderId="15" xfId="73" applyFont="1" applyBorder="1" applyAlignment="1" applyProtection="1">
      <alignment horizontal="left" vertical="top"/>
      <protection locked="0"/>
    </xf>
    <xf numFmtId="0" fontId="105" fillId="0" borderId="16" xfId="73" applyFont="1" applyBorder="1" applyAlignment="1" applyProtection="1">
      <alignment horizontal="left" vertical="top"/>
      <protection locked="0"/>
    </xf>
    <xf numFmtId="0" fontId="105" fillId="0" borderId="14" xfId="73" applyFont="1" applyBorder="1" applyAlignment="1" applyProtection="1">
      <alignment horizontal="left" vertical="top"/>
      <protection locked="0"/>
    </xf>
    <xf numFmtId="0" fontId="5" fillId="25" borderId="36" xfId="68" applyFont="1" applyFill="1" applyBorder="1" applyAlignment="1" applyProtection="1">
      <alignment horizontal="center" vertical="center"/>
      <protection locked="0"/>
    </xf>
    <xf numFmtId="0" fontId="5" fillId="25" borderId="0" xfId="68" applyFont="1" applyFill="1" applyBorder="1" applyAlignment="1" applyProtection="1">
      <alignment horizontal="center" vertical="center"/>
      <protection locked="0"/>
    </xf>
    <xf numFmtId="0" fontId="5" fillId="25" borderId="37" xfId="68" applyFont="1" applyFill="1" applyBorder="1" applyAlignment="1" applyProtection="1">
      <alignment horizontal="center" vertical="center"/>
      <protection locked="0"/>
    </xf>
    <xf numFmtId="0" fontId="5" fillId="25" borderId="19" xfId="68" applyFont="1" applyFill="1" applyBorder="1" applyAlignment="1" applyProtection="1">
      <alignment horizontal="center" vertical="center"/>
    </xf>
    <xf numFmtId="0" fontId="5" fillId="25" borderId="0" xfId="68" applyFont="1" applyFill="1" applyBorder="1" applyAlignment="1" applyProtection="1">
      <alignment horizontal="center" vertical="center"/>
    </xf>
    <xf numFmtId="0" fontId="5" fillId="25" borderId="18" xfId="68" applyFont="1" applyFill="1" applyBorder="1" applyAlignment="1" applyProtection="1">
      <alignment horizontal="center" vertical="center"/>
    </xf>
    <xf numFmtId="0" fontId="4" fillId="26" borderId="19" xfId="71" applyFont="1" applyFill="1" applyBorder="1" applyAlignment="1" applyProtection="1">
      <alignment horizontal="center" vertical="center"/>
      <protection locked="0"/>
    </xf>
    <xf numFmtId="0" fontId="4" fillId="26" borderId="0" xfId="71" applyFont="1" applyFill="1" applyBorder="1" applyAlignment="1" applyProtection="1">
      <alignment horizontal="center" vertical="center"/>
      <protection locked="0"/>
    </xf>
    <xf numFmtId="0" fontId="4" fillId="26" borderId="18" xfId="71" applyFont="1" applyFill="1" applyBorder="1" applyAlignment="1" applyProtection="1">
      <alignment horizontal="center" vertical="center"/>
      <protection locked="0"/>
    </xf>
    <xf numFmtId="0" fontId="4" fillId="26" borderId="58" xfId="71" applyFont="1" applyFill="1" applyBorder="1" applyAlignment="1" applyProtection="1">
      <alignment horizontal="center" vertical="center"/>
    </xf>
    <xf numFmtId="0" fontId="4" fillId="26" borderId="59" xfId="71" applyFont="1" applyFill="1" applyBorder="1" applyAlignment="1" applyProtection="1">
      <alignment horizontal="center" vertical="center"/>
    </xf>
    <xf numFmtId="0" fontId="4" fillId="26" borderId="60" xfId="71" applyFont="1" applyFill="1" applyBorder="1" applyAlignment="1" applyProtection="1">
      <alignment horizontal="center" vertical="center"/>
    </xf>
    <xf numFmtId="0" fontId="4" fillId="26" borderId="19" xfId="71" applyFont="1" applyFill="1" applyBorder="1" applyAlignment="1" applyProtection="1">
      <alignment horizontal="center"/>
      <protection locked="0"/>
    </xf>
    <xf numFmtId="0" fontId="4" fillId="26" borderId="0" xfId="71" applyFont="1" applyFill="1" applyBorder="1" applyAlignment="1" applyProtection="1">
      <alignment horizontal="center"/>
      <protection locked="0"/>
    </xf>
    <xf numFmtId="0" fontId="4" fillId="26" borderId="18" xfId="71" applyFont="1" applyFill="1" applyBorder="1" applyAlignment="1" applyProtection="1">
      <alignment horizontal="center"/>
      <protection locked="0"/>
    </xf>
    <xf numFmtId="0" fontId="4" fillId="26" borderId="19" xfId="68" applyFont="1" applyFill="1" applyBorder="1" applyAlignment="1" applyProtection="1">
      <alignment horizontal="center"/>
      <protection locked="0"/>
    </xf>
    <xf numFmtId="0" fontId="4" fillId="26" borderId="0" xfId="68" applyFont="1" applyFill="1" applyBorder="1" applyAlignment="1" applyProtection="1">
      <alignment horizontal="center"/>
      <protection locked="0"/>
    </xf>
    <xf numFmtId="0" fontId="4" fillId="26" borderId="18" xfId="68" applyFont="1" applyFill="1" applyBorder="1" applyAlignment="1" applyProtection="1">
      <alignment horizontal="center"/>
      <protection locked="0"/>
    </xf>
    <xf numFmtId="0" fontId="4" fillId="26" borderId="19" xfId="68" applyFont="1" applyFill="1" applyBorder="1" applyAlignment="1" applyProtection="1">
      <alignment horizontal="center" vertical="center"/>
      <protection locked="0"/>
    </xf>
    <xf numFmtId="0" fontId="4" fillId="26" borderId="0" xfId="68" applyFont="1" applyFill="1" applyBorder="1" applyAlignment="1" applyProtection="1">
      <alignment horizontal="center" vertical="center"/>
      <protection locked="0"/>
    </xf>
    <xf numFmtId="0" fontId="4" fillId="26" borderId="18" xfId="68" applyFont="1" applyFill="1" applyBorder="1" applyAlignment="1" applyProtection="1">
      <alignment horizontal="center" vertical="center"/>
      <protection locked="0"/>
    </xf>
    <xf numFmtId="0" fontId="4" fillId="26" borderId="58" xfId="68" applyFont="1" applyFill="1" applyBorder="1" applyAlignment="1" applyProtection="1">
      <alignment horizontal="center" vertical="center"/>
    </xf>
    <xf numFmtId="0" fontId="4" fillId="26" borderId="59" xfId="68" applyFont="1" applyFill="1" applyBorder="1" applyAlignment="1" applyProtection="1">
      <alignment horizontal="center" vertical="center"/>
    </xf>
    <xf numFmtId="0" fontId="4" fillId="26" borderId="60" xfId="68" applyFont="1" applyFill="1" applyBorder="1" applyAlignment="1" applyProtection="1">
      <alignment horizontal="center" vertical="center"/>
    </xf>
    <xf numFmtId="0" fontId="5" fillId="25" borderId="36" xfId="68" applyFont="1" applyFill="1" applyBorder="1" applyAlignment="1" applyProtection="1">
      <alignment horizontal="left" vertical="center" indent="2"/>
    </xf>
    <xf numFmtId="0" fontId="5" fillId="25" borderId="0" xfId="68" applyFont="1" applyFill="1" applyBorder="1" applyAlignment="1" applyProtection="1">
      <alignment horizontal="left" vertical="center" indent="2"/>
    </xf>
    <xf numFmtId="0" fontId="5" fillId="25" borderId="37" xfId="68" applyFont="1" applyFill="1" applyBorder="1" applyAlignment="1" applyProtection="1">
      <alignment horizontal="left" vertical="center" indent="2"/>
    </xf>
    <xf numFmtId="0" fontId="5" fillId="25" borderId="46" xfId="68" applyFont="1" applyFill="1" applyBorder="1" applyAlignment="1" applyProtection="1">
      <alignment horizontal="left" vertical="center" indent="2"/>
      <protection locked="0"/>
    </xf>
    <xf numFmtId="0" fontId="5" fillId="25" borderId="45" xfId="68" applyFont="1" applyFill="1" applyBorder="1" applyAlignment="1" applyProtection="1">
      <alignment horizontal="left" vertical="center" indent="2"/>
      <protection locked="0"/>
    </xf>
    <xf numFmtId="0" fontId="5" fillId="25" borderId="47" xfId="68" applyFont="1" applyFill="1" applyBorder="1" applyAlignment="1" applyProtection="1">
      <alignment horizontal="left" vertical="center" indent="2"/>
      <protection locked="0"/>
    </xf>
    <xf numFmtId="0" fontId="102" fillId="0" borderId="137" xfId="72" applyFont="1" applyBorder="1" applyAlignment="1" applyProtection="1">
      <alignment horizontal="center"/>
    </xf>
    <xf numFmtId="0" fontId="102" fillId="0" borderId="138" xfId="72" applyFont="1" applyBorder="1" applyAlignment="1" applyProtection="1">
      <alignment horizontal="center"/>
    </xf>
    <xf numFmtId="0" fontId="102" fillId="0" borderId="142" xfId="72" applyFont="1" applyBorder="1" applyAlignment="1" applyProtection="1">
      <alignment horizontal="center"/>
    </xf>
    <xf numFmtId="0" fontId="102" fillId="0" borderId="139" xfId="72" applyFont="1" applyBorder="1" applyAlignment="1" applyProtection="1">
      <alignment horizontal="center"/>
    </xf>
    <xf numFmtId="0" fontId="102" fillId="0" borderId="15" xfId="72" applyFont="1" applyBorder="1" applyAlignment="1" applyProtection="1">
      <alignment horizontal="center" vertical="center"/>
    </xf>
    <xf numFmtId="0" fontId="102" fillId="0" borderId="16" xfId="72" applyFont="1" applyBorder="1" applyAlignment="1" applyProtection="1">
      <alignment horizontal="center" vertical="center"/>
    </xf>
    <xf numFmtId="0" fontId="102" fillId="0" borderId="14" xfId="72" applyFont="1" applyBorder="1" applyAlignment="1" applyProtection="1">
      <alignment horizontal="center" vertical="center"/>
    </xf>
    <xf numFmtId="0" fontId="102" fillId="0" borderId="137" xfId="72" applyFont="1" applyBorder="1" applyAlignment="1" applyProtection="1">
      <alignment horizontal="center" vertical="center"/>
    </xf>
    <xf numFmtId="0" fontId="102" fillId="0" borderId="138" xfId="72" applyFont="1" applyBorder="1" applyAlignment="1" applyProtection="1">
      <alignment horizontal="center" vertical="center"/>
    </xf>
    <xf numFmtId="0" fontId="102" fillId="0" borderId="139" xfId="72" applyFont="1" applyBorder="1" applyAlignment="1" applyProtection="1">
      <alignment horizontal="center" vertical="center"/>
    </xf>
    <xf numFmtId="0" fontId="102" fillId="0" borderId="144" xfId="72" applyFont="1" applyBorder="1" applyAlignment="1" applyProtection="1">
      <alignment horizontal="center"/>
    </xf>
    <xf numFmtId="0" fontId="102" fillId="0" borderId="145" xfId="72" applyFont="1" applyBorder="1" applyAlignment="1" applyProtection="1">
      <alignment horizontal="center"/>
    </xf>
    <xf numFmtId="0" fontId="102" fillId="0" borderId="147" xfId="72" applyFont="1" applyBorder="1" applyAlignment="1" applyProtection="1">
      <alignment horizontal="center"/>
    </xf>
    <xf numFmtId="0" fontId="102" fillId="0" borderId="146" xfId="72" applyFont="1" applyBorder="1" applyAlignment="1" applyProtection="1">
      <alignment horizontal="center"/>
    </xf>
    <xf numFmtId="0" fontId="102" fillId="0" borderId="144" xfId="72" applyFont="1" applyBorder="1" applyAlignment="1" applyProtection="1">
      <alignment horizontal="center" vertical="center"/>
    </xf>
    <xf numFmtId="0" fontId="102" fillId="0" borderId="145" xfId="72" applyFont="1" applyBorder="1" applyAlignment="1" applyProtection="1">
      <alignment horizontal="center" vertical="center"/>
    </xf>
    <xf numFmtId="0" fontId="102" fillId="0" borderId="146" xfId="72" applyFont="1" applyBorder="1" applyAlignment="1" applyProtection="1">
      <alignment horizontal="center" vertical="center"/>
    </xf>
    <xf numFmtId="0" fontId="102" fillId="0" borderId="148" xfId="72" applyFont="1" applyBorder="1" applyAlignment="1" applyProtection="1">
      <alignment horizontal="center"/>
    </xf>
    <xf numFmtId="0" fontId="2" fillId="0" borderId="133" xfId="72" applyFont="1" applyBorder="1" applyAlignment="1" applyProtection="1">
      <alignment horizontal="center" vertical="center"/>
      <protection locked="0"/>
    </xf>
    <xf numFmtId="0" fontId="2" fillId="0" borderId="136" xfId="72" applyFont="1" applyBorder="1" applyAlignment="1" applyProtection="1">
      <alignment horizontal="center" vertical="center"/>
      <protection locked="0"/>
    </xf>
    <xf numFmtId="0" fontId="2" fillId="0" borderId="141" xfId="72" applyFont="1" applyBorder="1" applyAlignment="1" applyProtection="1">
      <alignment horizontal="center" vertical="center"/>
      <protection locked="0"/>
    </xf>
    <xf numFmtId="0" fontId="2" fillId="35" borderId="139" xfId="72" applyFont="1" applyFill="1" applyBorder="1" applyAlignment="1" applyProtection="1">
      <alignment horizontal="center" vertical="center"/>
    </xf>
    <xf numFmtId="0" fontId="2" fillId="35" borderId="136" xfId="72" applyFont="1" applyFill="1" applyBorder="1" applyAlignment="1" applyProtection="1">
      <alignment horizontal="center" vertical="center"/>
    </xf>
    <xf numFmtId="0" fontId="2" fillId="0" borderId="61" xfId="72" applyFont="1" applyBorder="1" applyAlignment="1" applyProtection="1">
      <alignment horizontal="center" vertical="center"/>
      <protection locked="0"/>
    </xf>
    <xf numFmtId="0" fontId="2" fillId="0" borderId="143" xfId="72" applyFont="1" applyBorder="1" applyAlignment="1" applyProtection="1">
      <alignment horizontal="center" vertical="center"/>
      <protection locked="0"/>
    </xf>
    <xf numFmtId="0" fontId="2" fillId="0" borderId="18" xfId="72" applyFont="1" applyBorder="1" applyAlignment="1" applyProtection="1">
      <alignment horizontal="center" vertical="center"/>
      <protection locked="0"/>
    </xf>
    <xf numFmtId="0" fontId="43" fillId="25" borderId="136" xfId="72" applyFont="1" applyFill="1" applyBorder="1" applyAlignment="1" applyProtection="1">
      <alignment horizontal="center" vertical="center"/>
    </xf>
    <xf numFmtId="0" fontId="43" fillId="25" borderId="141" xfId="72" applyFont="1" applyFill="1" applyBorder="1" applyAlignment="1" applyProtection="1">
      <alignment horizontal="center" vertical="center"/>
    </xf>
    <xf numFmtId="0" fontId="43" fillId="25" borderId="139" xfId="72" applyFont="1" applyFill="1" applyBorder="1" applyAlignment="1" applyProtection="1">
      <alignment horizontal="center" vertical="center"/>
    </xf>
    <xf numFmtId="0" fontId="2" fillId="0" borderId="139" xfId="72" applyFont="1" applyBorder="1" applyAlignment="1" applyProtection="1">
      <alignment horizontal="center" vertical="center"/>
      <protection locked="0"/>
    </xf>
    <xf numFmtId="0" fontId="2" fillId="0" borderId="136" xfId="72" applyFont="1" applyBorder="1" applyAlignment="1" applyProtection="1">
      <alignment horizontal="center" vertical="center"/>
    </xf>
    <xf numFmtId="0" fontId="1" fillId="0" borderId="13" xfId="72" applyFont="1" applyBorder="1" applyAlignment="1" applyProtection="1">
      <alignment horizontal="center"/>
      <protection locked="0"/>
    </xf>
    <xf numFmtId="0" fontId="1" fillId="0" borderId="12" xfId="72" applyFont="1" applyBorder="1" applyAlignment="1" applyProtection="1">
      <alignment horizontal="center"/>
      <protection locked="0"/>
    </xf>
    <xf numFmtId="0" fontId="1" fillId="0" borderId="17" xfId="72" applyFont="1" applyBorder="1" applyAlignment="1" applyProtection="1">
      <alignment horizontal="center"/>
      <protection locked="0"/>
    </xf>
    <xf numFmtId="0" fontId="1" fillId="0" borderId="19" xfId="72" applyFont="1" applyBorder="1" applyAlignment="1" applyProtection="1">
      <alignment horizontal="center"/>
      <protection locked="0"/>
    </xf>
    <xf numFmtId="0" fontId="1" fillId="0" borderId="0" xfId="72" applyFont="1" applyBorder="1" applyAlignment="1" applyProtection="1">
      <alignment horizontal="center"/>
      <protection locked="0"/>
    </xf>
    <xf numFmtId="0" fontId="1" fillId="0" borderId="18" xfId="72" applyFont="1" applyBorder="1" applyAlignment="1" applyProtection="1">
      <alignment horizontal="center"/>
      <protection locked="0"/>
    </xf>
    <xf numFmtId="0" fontId="5" fillId="0" borderId="13" xfId="72" applyFont="1" applyBorder="1" applyAlignment="1" applyProtection="1">
      <alignment horizontal="center" vertical="center"/>
    </xf>
    <xf numFmtId="0" fontId="5" fillId="0" borderId="12" xfId="72" applyFont="1" applyBorder="1" applyAlignment="1" applyProtection="1">
      <alignment horizontal="center" vertical="center"/>
    </xf>
    <xf numFmtId="0" fontId="5" fillId="0" borderId="17" xfId="72" applyFont="1" applyBorder="1" applyAlignment="1" applyProtection="1">
      <alignment horizontal="center" vertical="center"/>
    </xf>
    <xf numFmtId="0" fontId="5" fillId="0" borderId="19" xfId="72" applyFont="1" applyBorder="1" applyAlignment="1" applyProtection="1">
      <alignment horizontal="center" vertical="center" wrapText="1"/>
    </xf>
    <xf numFmtId="0" fontId="5" fillId="0" borderId="0" xfId="72" applyFont="1" applyBorder="1" applyAlignment="1" applyProtection="1">
      <alignment horizontal="center" vertical="center" wrapText="1"/>
    </xf>
    <xf numFmtId="0" fontId="5" fillId="0" borderId="18" xfId="72" applyFont="1" applyBorder="1" applyAlignment="1" applyProtection="1">
      <alignment horizontal="center" vertical="center" wrapText="1"/>
    </xf>
    <xf numFmtId="0" fontId="5" fillId="0" borderId="19" xfId="72" applyFont="1" applyBorder="1" applyAlignment="1" applyProtection="1">
      <alignment horizontal="center" vertical="center"/>
    </xf>
    <xf numFmtId="0" fontId="5" fillId="0" borderId="0" xfId="72" applyFont="1" applyBorder="1" applyAlignment="1" applyProtection="1">
      <alignment horizontal="center" vertical="center"/>
    </xf>
    <xf numFmtId="0" fontId="5" fillId="0" borderId="18" xfId="72" applyFont="1" applyBorder="1" applyAlignment="1" applyProtection="1">
      <alignment horizontal="center" vertical="center"/>
    </xf>
    <xf numFmtId="0" fontId="111" fillId="2" borderId="11" xfId="72" applyFont="1" applyFill="1" applyBorder="1" applyAlignment="1" applyProtection="1">
      <alignment horizontal="left" vertical="center" wrapText="1"/>
    </xf>
    <xf numFmtId="0" fontId="111" fillId="2" borderId="10" xfId="72" applyFont="1" applyFill="1" applyBorder="1" applyAlignment="1" applyProtection="1">
      <alignment horizontal="left" vertical="center" wrapText="1"/>
    </xf>
    <xf numFmtId="0" fontId="111" fillId="2" borderId="9" xfId="72" applyFont="1" applyFill="1" applyBorder="1" applyAlignment="1" applyProtection="1">
      <alignment horizontal="left" vertical="center" wrapText="1"/>
    </xf>
    <xf numFmtId="0" fontId="111" fillId="2" borderId="56" xfId="72" applyFont="1" applyFill="1" applyBorder="1" applyAlignment="1" applyProtection="1">
      <alignment horizontal="left" vertical="center" wrapText="1"/>
    </xf>
    <xf numFmtId="0" fontId="2" fillId="0" borderId="130" xfId="72" applyFont="1" applyBorder="1" applyAlignment="1" applyProtection="1">
      <alignment horizontal="left" vertical="center"/>
    </xf>
    <xf numFmtId="0" fontId="2" fillId="0" borderId="131" xfId="72" applyFont="1" applyBorder="1" applyAlignment="1" applyProtection="1">
      <alignment horizontal="left" vertical="center"/>
    </xf>
    <xf numFmtId="0" fontId="2" fillId="0" borderId="132" xfId="72" applyFont="1" applyBorder="1" applyAlignment="1" applyProtection="1">
      <alignment horizontal="left" vertical="center"/>
    </xf>
    <xf numFmtId="0" fontId="2" fillId="0" borderId="129" xfId="72" applyFont="1" applyBorder="1" applyAlignment="1" applyProtection="1">
      <alignment horizontal="center" vertical="center"/>
      <protection locked="0"/>
    </xf>
    <xf numFmtId="0" fontId="5" fillId="2" borderId="0" xfId="72" applyFont="1" applyFill="1" applyBorder="1" applyAlignment="1" applyProtection="1">
      <alignment horizontal="left" vertical="center"/>
    </xf>
    <xf numFmtId="0" fontId="5" fillId="26" borderId="34" xfId="0" applyFont="1" applyFill="1" applyBorder="1" applyAlignment="1" applyProtection="1">
      <alignment horizontal="left" vertical="center"/>
    </xf>
    <xf numFmtId="0" fontId="2" fillId="2" borderId="34" xfId="72" applyFont="1" applyFill="1" applyBorder="1" applyAlignment="1" applyProtection="1">
      <alignment horizontal="left" vertical="center"/>
      <protection locked="0"/>
    </xf>
    <xf numFmtId="0" fontId="2" fillId="2" borderId="107" xfId="72" applyFont="1" applyFill="1" applyBorder="1" applyAlignment="1" applyProtection="1">
      <alignment horizontal="left" vertical="center"/>
      <protection locked="0"/>
    </xf>
    <xf numFmtId="0" fontId="5" fillId="0" borderId="39" xfId="72" applyFont="1" applyBorder="1" applyProtection="1">
      <protection locked="0"/>
    </xf>
    <xf numFmtId="0" fontId="5" fillId="2" borderId="72" xfId="72" applyFont="1" applyFill="1" applyBorder="1" applyAlignment="1" applyProtection="1">
      <alignment vertical="center"/>
    </xf>
    <xf numFmtId="0" fontId="5" fillId="2" borderId="34" xfId="72" applyFont="1" applyFill="1" applyBorder="1" applyAlignment="1" applyProtection="1">
      <alignment vertical="center"/>
    </xf>
    <xf numFmtId="0" fontId="5" fillId="2" borderId="19" xfId="72" applyFont="1" applyFill="1" applyBorder="1" applyAlignment="1" applyProtection="1">
      <alignment vertical="center"/>
    </xf>
    <xf numFmtId="0" fontId="5" fillId="2" borderId="0" xfId="72" applyFont="1" applyFill="1" applyBorder="1" applyAlignment="1" applyProtection="1">
      <alignment vertical="center"/>
    </xf>
    <xf numFmtId="0" fontId="111" fillId="2" borderId="119" xfId="21" applyFont="1" applyFill="1" applyBorder="1" applyAlignment="1" applyProtection="1">
      <alignment horizontal="left"/>
      <protection locked="0"/>
    </xf>
    <xf numFmtId="0" fontId="111" fillId="2" borderId="116" xfId="21" applyFont="1" applyFill="1" applyBorder="1" applyAlignment="1" applyProtection="1">
      <alignment horizontal="left"/>
      <protection locked="0"/>
    </xf>
    <xf numFmtId="0" fontId="111" fillId="2" borderId="120" xfId="21" applyFont="1" applyFill="1" applyBorder="1" applyAlignment="1" applyProtection="1">
      <alignment horizontal="left"/>
      <protection locked="0"/>
    </xf>
    <xf numFmtId="168" fontId="2" fillId="2" borderId="0" xfId="72" applyNumberFormat="1" applyFont="1" applyFill="1" applyBorder="1" applyAlignment="1" applyProtection="1">
      <alignment horizontal="left" vertical="center"/>
      <protection locked="0"/>
    </xf>
    <xf numFmtId="168" fontId="2" fillId="2" borderId="18" xfId="72" applyNumberFormat="1" applyFont="1" applyFill="1" applyBorder="1" applyAlignment="1" applyProtection="1">
      <alignment horizontal="left" vertical="center"/>
      <protection locked="0"/>
    </xf>
    <xf numFmtId="0" fontId="2" fillId="2" borderId="0" xfId="72" applyFont="1" applyFill="1" applyBorder="1" applyAlignment="1" applyProtection="1">
      <alignment horizontal="left" vertical="center"/>
    </xf>
    <xf numFmtId="0" fontId="5" fillId="2" borderId="121" xfId="72" applyFont="1" applyFill="1" applyBorder="1" applyAlignment="1" applyProtection="1">
      <alignment vertical="center"/>
    </xf>
    <xf numFmtId="0" fontId="5" fillId="2" borderId="39" xfId="72" applyFont="1" applyFill="1" applyBorder="1" applyAlignment="1" applyProtection="1">
      <alignment vertical="center"/>
    </xf>
    <xf numFmtId="0" fontId="2" fillId="2" borderId="34" xfId="72" applyFont="1" applyFill="1" applyBorder="1" applyAlignment="1" applyProtection="1">
      <alignment horizontal="left" vertical="center"/>
    </xf>
    <xf numFmtId="0" fontId="66" fillId="2" borderId="0" xfId="72" applyFont="1" applyFill="1" applyBorder="1" applyAlignment="1" applyProtection="1">
      <alignment horizontal="right" vertical="center"/>
    </xf>
    <xf numFmtId="0" fontId="5" fillId="26" borderId="0" xfId="0" applyFont="1" applyFill="1" applyBorder="1" applyAlignment="1" applyProtection="1">
      <alignment horizontal="right" vertical="center"/>
    </xf>
    <xf numFmtId="0" fontId="2" fillId="2" borderId="0" xfId="72" applyFont="1" applyFill="1" applyBorder="1" applyAlignment="1" applyProtection="1">
      <alignment vertical="center"/>
    </xf>
    <xf numFmtId="0" fontId="2" fillId="2" borderId="39" xfId="72" applyFont="1" applyFill="1" applyBorder="1" applyAlignment="1" applyProtection="1">
      <alignment horizontal="left" vertical="center"/>
    </xf>
    <xf numFmtId="0" fontId="5" fillId="26" borderId="72" xfId="71" applyFont="1" applyFill="1" applyBorder="1" applyAlignment="1" applyProtection="1">
      <alignment horizontal="center" vertical="top" wrapText="1"/>
    </xf>
    <xf numFmtId="0" fontId="5" fillId="26" borderId="34" xfId="71" applyFont="1" applyFill="1" applyBorder="1" applyAlignment="1" applyProtection="1">
      <alignment horizontal="center" vertical="top" wrapText="1"/>
    </xf>
    <xf numFmtId="0" fontId="4" fillId="26" borderId="34" xfId="71" applyFont="1" applyFill="1" applyBorder="1" applyAlignment="1" applyProtection="1">
      <alignment horizontal="left" vertical="top" wrapText="1"/>
      <protection locked="0"/>
    </xf>
    <xf numFmtId="0" fontId="4" fillId="26" borderId="107" xfId="71" applyFont="1" applyFill="1" applyBorder="1" applyAlignment="1" applyProtection="1">
      <alignment horizontal="left" vertical="top" wrapText="1"/>
      <protection locked="0"/>
    </xf>
    <xf numFmtId="0" fontId="2" fillId="0" borderId="137" xfId="72" applyFont="1" applyBorder="1" applyAlignment="1" applyProtection="1">
      <alignment horizontal="left" vertical="center" wrapText="1"/>
    </xf>
    <xf numFmtId="0" fontId="2" fillId="0" borderId="138" xfId="72" applyFont="1" applyBorder="1" applyAlignment="1" applyProtection="1">
      <alignment horizontal="left" vertical="center" wrapText="1"/>
    </xf>
    <xf numFmtId="167" fontId="2" fillId="0" borderId="136" xfId="72" applyNumberFormat="1" applyFont="1" applyBorder="1" applyAlignment="1" applyProtection="1">
      <alignment horizontal="center" vertical="center"/>
    </xf>
    <xf numFmtId="0" fontId="2" fillId="0" borderId="121" xfId="72" applyFont="1" applyBorder="1" applyAlignment="1" applyProtection="1">
      <alignment horizontal="left" vertical="center" wrapText="1"/>
    </xf>
    <xf numFmtId="0" fontId="2" fillId="0" borderId="39" xfId="72" applyFont="1" applyBorder="1" applyAlignment="1" applyProtection="1">
      <alignment horizontal="left" vertical="center" wrapText="1"/>
    </xf>
    <xf numFmtId="0" fontId="5" fillId="28" borderId="15" xfId="72" applyFont="1" applyFill="1" applyBorder="1" applyAlignment="1" applyProtection="1">
      <alignment horizontal="center" vertical="center"/>
    </xf>
    <xf numFmtId="0" fontId="5" fillId="28" borderId="16" xfId="72" applyFont="1" applyFill="1" applyBorder="1" applyAlignment="1" applyProtection="1">
      <alignment horizontal="center" vertical="center"/>
    </xf>
    <xf numFmtId="0" fontId="5" fillId="28" borderId="14" xfId="72" applyFont="1" applyFill="1" applyBorder="1" applyAlignment="1" applyProtection="1">
      <alignment horizontal="center" vertical="center"/>
    </xf>
    <xf numFmtId="1" fontId="2" fillId="0" borderId="136" xfId="72" applyNumberFormat="1" applyFont="1" applyBorder="1" applyAlignment="1" applyProtection="1">
      <alignment horizontal="center" vertical="center"/>
    </xf>
    <xf numFmtId="1" fontId="2" fillId="0" borderId="141" xfId="72" applyNumberFormat="1" applyFont="1" applyBorder="1" applyAlignment="1" applyProtection="1">
      <alignment horizontal="center" vertical="center"/>
    </xf>
    <xf numFmtId="1" fontId="43" fillId="0" borderId="136" xfId="72" applyNumberFormat="1" applyFont="1" applyBorder="1" applyAlignment="1" applyProtection="1">
      <alignment horizontal="center" vertical="center"/>
    </xf>
    <xf numFmtId="1" fontId="43" fillId="0" borderId="137" xfId="72" applyNumberFormat="1" applyFont="1" applyBorder="1" applyAlignment="1" applyProtection="1">
      <alignment horizontal="center" vertical="center"/>
    </xf>
    <xf numFmtId="1" fontId="43" fillId="0" borderId="140" xfId="72" applyNumberFormat="1" applyFont="1" applyBorder="1" applyAlignment="1" applyProtection="1">
      <alignment horizontal="center" vertical="center"/>
    </xf>
    <xf numFmtId="0" fontId="2" fillId="0" borderId="138" xfId="72" applyFont="1" applyBorder="1" applyAlignment="1" applyProtection="1">
      <alignment horizontal="center" vertical="center" wrapText="1"/>
    </xf>
    <xf numFmtId="0" fontId="2" fillId="0" borderId="139" xfId="72" applyFont="1" applyBorder="1" applyAlignment="1" applyProtection="1">
      <alignment horizontal="center" vertical="center" wrapText="1"/>
    </xf>
    <xf numFmtId="167" fontId="2" fillId="0" borderId="125" xfId="72" applyNumberFormat="1" applyFont="1" applyBorder="1" applyAlignment="1" applyProtection="1">
      <alignment horizontal="center" vertical="center"/>
    </xf>
    <xf numFmtId="167" fontId="2" fillId="0" borderId="126" xfId="72" applyNumberFormat="1" applyFont="1" applyBorder="1" applyAlignment="1" applyProtection="1">
      <alignment horizontal="center" vertical="center"/>
    </xf>
    <xf numFmtId="167" fontId="2" fillId="0" borderId="128" xfId="72" applyNumberFormat="1" applyFont="1" applyBorder="1" applyAlignment="1" applyProtection="1">
      <alignment horizontal="center" vertical="center"/>
    </xf>
    <xf numFmtId="0" fontId="2" fillId="0" borderId="138" xfId="72" applyFont="1" applyBorder="1" applyAlignment="1" applyProtection="1">
      <alignment horizontal="center" vertical="center"/>
    </xf>
    <xf numFmtId="0" fontId="2" fillId="0" borderId="139" xfId="72" applyFont="1" applyBorder="1" applyAlignment="1" applyProtection="1">
      <alignment horizontal="center" vertical="center"/>
    </xf>
    <xf numFmtId="0" fontId="2" fillId="0" borderId="19" xfId="72" applyFont="1" applyBorder="1" applyAlignment="1" applyProtection="1">
      <alignment horizontal="left" vertical="center" wrapText="1"/>
    </xf>
    <xf numFmtId="0" fontId="2" fillId="0" borderId="0" xfId="72" applyFont="1" applyBorder="1" applyAlignment="1" applyProtection="1">
      <alignment horizontal="left" vertical="center" wrapText="1"/>
    </xf>
    <xf numFmtId="0" fontId="2" fillId="0" borderId="0" xfId="72" applyFont="1" applyBorder="1" applyAlignment="1" applyProtection="1">
      <alignment horizontal="center" vertical="center" wrapText="1"/>
    </xf>
    <xf numFmtId="0" fontId="2" fillId="0" borderId="18" xfId="72" applyFont="1" applyBorder="1" applyAlignment="1" applyProtection="1">
      <alignment horizontal="center" vertical="center" wrapText="1"/>
    </xf>
    <xf numFmtId="0" fontId="2" fillId="0" borderId="134" xfId="72" applyFont="1" applyBorder="1" applyAlignment="1" applyProtection="1">
      <alignment horizontal="left" vertical="center"/>
    </xf>
    <xf numFmtId="0" fontId="2" fillId="0" borderId="135" xfId="72" applyFont="1" applyBorder="1" applyAlignment="1" applyProtection="1">
      <alignment horizontal="left" vertical="center"/>
    </xf>
    <xf numFmtId="0" fontId="5" fillId="0" borderId="38" xfId="1" applyFont="1" applyBorder="1" applyAlignment="1" applyProtection="1">
      <alignment horizontal="left" vertical="center"/>
    </xf>
    <xf numFmtId="0" fontId="5" fillId="0" borderId="39" xfId="1" applyFont="1" applyBorder="1" applyAlignment="1" applyProtection="1">
      <alignment horizontal="left" vertical="center"/>
    </xf>
    <xf numFmtId="0" fontId="1" fillId="0" borderId="0" xfId="71" applyFont="1" applyFill="1" applyBorder="1" applyAlignment="1" applyProtection="1">
      <alignment horizontal="center"/>
      <protection locked="0"/>
    </xf>
    <xf numFmtId="0" fontId="1" fillId="0" borderId="18" xfId="71" applyFont="1" applyFill="1" applyBorder="1" applyAlignment="1" applyProtection="1">
      <alignment horizontal="center"/>
      <protection locked="0"/>
    </xf>
    <xf numFmtId="0" fontId="1" fillId="0" borderId="0" xfId="71" applyFont="1" applyFill="1" applyBorder="1" applyAlignment="1" applyProtection="1">
      <alignment horizontal="center" vertical="center"/>
      <protection locked="0"/>
    </xf>
    <xf numFmtId="0" fontId="1" fillId="0" borderId="18" xfId="71" applyFont="1" applyFill="1" applyBorder="1" applyAlignment="1" applyProtection="1">
      <alignment horizontal="center" vertical="center"/>
      <protection locked="0"/>
    </xf>
    <xf numFmtId="2" fontId="1" fillId="0" borderId="0" xfId="1" applyNumberFormat="1" applyFont="1" applyBorder="1" applyProtection="1">
      <protection locked="0"/>
    </xf>
    <xf numFmtId="0" fontId="49" fillId="0" borderId="15" xfId="73" applyFont="1" applyBorder="1" applyAlignment="1" applyProtection="1">
      <alignment horizontal="left" vertical="top"/>
      <protection locked="0"/>
    </xf>
    <xf numFmtId="0" fontId="49" fillId="0" borderId="16" xfId="73" applyFont="1" applyBorder="1" applyAlignment="1" applyProtection="1">
      <alignment horizontal="left" vertical="top"/>
      <protection locked="0"/>
    </xf>
    <xf numFmtId="0" fontId="49" fillId="0" borderId="14" xfId="73" applyFont="1" applyBorder="1" applyAlignment="1" applyProtection="1">
      <alignment horizontal="left" vertical="top"/>
      <protection locked="0"/>
    </xf>
    <xf numFmtId="0" fontId="1" fillId="25" borderId="13" xfId="71" applyFont="1" applyFill="1" applyBorder="1" applyAlignment="1" applyProtection="1">
      <alignment horizontal="center" vertical="center"/>
      <protection locked="0"/>
    </xf>
    <xf numFmtId="0" fontId="1" fillId="25" borderId="12" xfId="71" applyFont="1" applyFill="1" applyBorder="1" applyAlignment="1" applyProtection="1">
      <alignment horizontal="center" vertical="center"/>
      <protection locked="0"/>
    </xf>
    <xf numFmtId="0" fontId="5" fillId="25" borderId="19" xfId="68" applyFont="1" applyFill="1" applyBorder="1" applyAlignment="1" applyProtection="1">
      <alignment horizontal="left" vertical="center" indent="2"/>
    </xf>
    <xf numFmtId="0" fontId="5" fillId="25" borderId="80" xfId="68" applyFont="1" applyFill="1" applyBorder="1" applyAlignment="1" applyProtection="1">
      <alignment horizontal="center" vertical="center"/>
    </xf>
    <xf numFmtId="0" fontId="5" fillId="25" borderId="12" xfId="68" applyFont="1" applyFill="1" applyBorder="1" applyAlignment="1" applyProtection="1">
      <alignment horizontal="center" vertical="center"/>
    </xf>
    <xf numFmtId="0" fontId="5" fillId="25" borderId="76" xfId="68" applyFont="1" applyFill="1" applyBorder="1" applyAlignment="1" applyProtection="1">
      <alignment horizontal="center" vertical="center"/>
    </xf>
    <xf numFmtId="0" fontId="1" fillId="26" borderId="36" xfId="71" applyFont="1" applyFill="1" applyBorder="1" applyAlignment="1" applyProtection="1">
      <alignment horizontal="center"/>
      <protection locked="0"/>
    </xf>
    <xf numFmtId="0" fontId="1" fillId="26" borderId="0" xfId="71" applyFont="1" applyFill="1" applyBorder="1" applyAlignment="1" applyProtection="1">
      <alignment horizontal="center"/>
      <protection locked="0"/>
    </xf>
    <xf numFmtId="0" fontId="1" fillId="26" borderId="37" xfId="71" applyFont="1" applyFill="1" applyBorder="1" applyAlignment="1" applyProtection="1">
      <alignment horizontal="center"/>
      <protection locked="0"/>
    </xf>
    <xf numFmtId="0" fontId="1" fillId="26" borderId="36" xfId="71" applyFont="1" applyFill="1" applyBorder="1" applyAlignment="1" applyProtection="1">
      <alignment horizontal="center" vertical="center"/>
      <protection locked="0"/>
    </xf>
    <xf numFmtId="0" fontId="1" fillId="26" borderId="0" xfId="71" applyFont="1" applyFill="1" applyBorder="1" applyAlignment="1" applyProtection="1">
      <alignment horizontal="center" vertical="center"/>
      <protection locked="0"/>
    </xf>
    <xf numFmtId="0" fontId="1" fillId="26" borderId="37" xfId="71" applyFont="1" applyFill="1" applyBorder="1" applyAlignment="1" applyProtection="1">
      <alignment horizontal="center" vertical="center"/>
      <protection locked="0"/>
    </xf>
    <xf numFmtId="0" fontId="1" fillId="26" borderId="78" xfId="71" applyFont="1" applyFill="1" applyBorder="1" applyAlignment="1" applyProtection="1">
      <alignment horizontal="center" vertical="center"/>
    </xf>
    <xf numFmtId="0" fontId="1" fillId="26" borderId="59" xfId="71" applyFont="1" applyFill="1" applyBorder="1" applyAlignment="1" applyProtection="1">
      <alignment horizontal="center" vertical="center"/>
    </xf>
    <xf numFmtId="0" fontId="1" fillId="26" borderId="118" xfId="71" applyFont="1" applyFill="1" applyBorder="1" applyAlignment="1" applyProtection="1">
      <alignment horizontal="center" vertical="center"/>
    </xf>
    <xf numFmtId="0" fontId="3" fillId="26" borderId="72" xfId="71" applyFont="1" applyFill="1" applyBorder="1" applyAlignment="1" applyProtection="1">
      <alignment horizontal="left" vertical="top" wrapText="1"/>
    </xf>
    <xf numFmtId="0" fontId="3" fillId="26" borderId="34" xfId="71" applyFont="1" applyFill="1" applyBorder="1" applyAlignment="1" applyProtection="1">
      <alignment horizontal="left" vertical="top" wrapText="1"/>
    </xf>
    <xf numFmtId="0" fontId="1" fillId="26" borderId="34" xfId="71" applyFont="1" applyFill="1" applyBorder="1" applyAlignment="1" applyProtection="1">
      <alignment horizontal="left" vertical="top" wrapText="1"/>
      <protection locked="0"/>
    </xf>
    <xf numFmtId="0" fontId="1" fillId="26" borderId="107" xfId="71" applyFont="1" applyFill="1" applyBorder="1" applyAlignment="1" applyProtection="1">
      <alignment horizontal="left" vertical="top" wrapText="1"/>
      <protection locked="0"/>
    </xf>
    <xf numFmtId="0" fontId="47" fillId="0" borderId="57" xfId="70" applyFont="1" applyFill="1" applyBorder="1" applyAlignment="1" applyProtection="1">
      <alignment horizontal="center" vertical="center" wrapText="1"/>
    </xf>
    <xf numFmtId="0" fontId="45" fillId="25" borderId="168" xfId="68" applyFont="1" applyFill="1" applyBorder="1" applyAlignment="1" applyProtection="1">
      <alignment horizontal="center" vertical="center"/>
    </xf>
    <xf numFmtId="0" fontId="47" fillId="0" borderId="0" xfId="69" applyFont="1" applyBorder="1" applyAlignment="1" applyProtection="1">
      <alignment horizontal="center" wrapText="1"/>
    </xf>
    <xf numFmtId="0" fontId="5" fillId="25" borderId="58" xfId="68" applyFont="1" applyFill="1" applyBorder="1" applyAlignment="1" applyProtection="1">
      <alignment horizontal="left" vertical="center" indent="2"/>
    </xf>
    <xf numFmtId="0" fontId="5" fillId="25" borderId="59" xfId="68" applyFont="1" applyFill="1" applyBorder="1" applyAlignment="1" applyProtection="1">
      <alignment horizontal="left" vertical="center" indent="2"/>
    </xf>
    <xf numFmtId="0" fontId="1" fillId="0" borderId="59" xfId="71" applyFont="1" applyFill="1" applyBorder="1" applyAlignment="1" applyProtection="1">
      <alignment horizontal="center" vertical="center"/>
    </xf>
    <xf numFmtId="0" fontId="1" fillId="0" borderId="60" xfId="71" applyFont="1" applyFill="1" applyBorder="1" applyAlignment="1" applyProtection="1">
      <alignment horizontal="center" vertical="center"/>
    </xf>
    <xf numFmtId="0" fontId="4" fillId="0" borderId="167" xfId="1" applyFont="1" applyBorder="1" applyAlignment="1" applyProtection="1">
      <alignment horizontal="left" vertical="center"/>
    </xf>
    <xf numFmtId="0" fontId="4" fillId="0" borderId="138" xfId="1" applyFont="1" applyBorder="1" applyAlignment="1" applyProtection="1">
      <alignment horizontal="left" vertical="center"/>
    </xf>
    <xf numFmtId="0" fontId="43" fillId="26" borderId="0" xfId="1" applyFont="1" applyFill="1" applyBorder="1" applyAlignment="1" applyProtection="1">
      <alignment horizontal="left" vertical="center"/>
    </xf>
    <xf numFmtId="0" fontId="5" fillId="25" borderId="17" xfId="68" applyFont="1" applyFill="1" applyBorder="1" applyAlignment="1" applyProtection="1">
      <alignment horizontal="center" vertical="center"/>
    </xf>
    <xf numFmtId="2" fontId="1" fillId="0" borderId="0" xfId="1" applyNumberFormat="1" applyFont="1" applyBorder="1" applyAlignment="1" applyProtection="1">
      <alignment horizontal="center"/>
      <protection locked="0"/>
    </xf>
    <xf numFmtId="0" fontId="2" fillId="0" borderId="131" xfId="1" applyFont="1" applyBorder="1" applyAlignment="1" applyProtection="1">
      <alignment horizontal="center" vertical="center"/>
      <protection locked="0"/>
    </xf>
    <xf numFmtId="0" fontId="2" fillId="0" borderId="161" xfId="1" applyFont="1" applyBorder="1" applyAlignment="1" applyProtection="1">
      <alignment horizontal="center" vertical="center"/>
      <protection locked="0"/>
    </xf>
    <xf numFmtId="0" fontId="2" fillId="0" borderId="138" xfId="1" applyFont="1" applyBorder="1" applyAlignment="1" applyProtection="1">
      <alignment horizontal="center" vertical="center"/>
      <protection locked="0"/>
    </xf>
    <xf numFmtId="0" fontId="2" fillId="0" borderId="163" xfId="1" applyFont="1" applyBorder="1" applyAlignment="1" applyProtection="1">
      <alignment horizontal="center" vertical="center"/>
      <protection locked="0"/>
    </xf>
    <xf numFmtId="167" fontId="43" fillId="0" borderId="39" xfId="1" applyNumberFormat="1" applyFont="1" applyBorder="1" applyAlignment="1" applyProtection="1">
      <alignment horizontal="center" vertical="center"/>
    </xf>
    <xf numFmtId="167" fontId="43" fillId="0" borderId="40" xfId="1" applyNumberFormat="1" applyFont="1" applyBorder="1" applyAlignment="1" applyProtection="1">
      <alignment horizontal="center" vertical="center"/>
    </xf>
    <xf numFmtId="0" fontId="44" fillId="0" borderId="0" xfId="1" applyFont="1" applyBorder="1" applyAlignment="1" applyProtection="1">
      <alignment horizontal="center" vertical="center" wrapText="1"/>
    </xf>
    <xf numFmtId="0" fontId="4" fillId="0" borderId="131" xfId="1" applyFont="1" applyBorder="1" applyAlignment="1" applyProtection="1">
      <alignment horizontal="center" vertical="center"/>
      <protection locked="0"/>
    </xf>
    <xf numFmtId="0" fontId="4" fillId="0" borderId="162" xfId="1" applyFont="1" applyBorder="1" applyAlignment="1" applyProtection="1">
      <alignment horizontal="center" vertical="center"/>
      <protection locked="0"/>
    </xf>
    <xf numFmtId="0" fontId="4" fillId="0" borderId="138" xfId="1" applyFont="1" applyBorder="1" applyAlignment="1" applyProtection="1">
      <alignment horizontal="center" vertical="center"/>
      <protection locked="0"/>
    </xf>
    <xf numFmtId="0" fontId="4" fillId="0" borderId="148" xfId="1" applyFont="1" applyBorder="1" applyAlignment="1" applyProtection="1">
      <alignment horizontal="center" vertical="center"/>
      <protection locked="0"/>
    </xf>
    <xf numFmtId="0" fontId="4" fillId="0" borderId="138" xfId="1" applyFont="1" applyBorder="1" applyAlignment="1" applyProtection="1">
      <alignment horizontal="center" vertical="center"/>
    </xf>
    <xf numFmtId="0" fontId="4" fillId="0" borderId="148" xfId="1" applyFont="1" applyBorder="1" applyAlignment="1" applyProtection="1">
      <alignment horizontal="center" vertical="center"/>
    </xf>
    <xf numFmtId="0" fontId="4" fillId="0" borderId="39" xfId="1" applyFont="1" applyBorder="1" applyAlignment="1" applyProtection="1">
      <alignment horizontal="center" vertical="center"/>
    </xf>
    <xf numFmtId="0" fontId="4" fillId="0" borderId="158" xfId="1" applyFont="1" applyBorder="1" applyAlignment="1" applyProtection="1">
      <alignment horizontal="center" vertical="center"/>
    </xf>
    <xf numFmtId="0" fontId="51" fillId="0" borderId="0" xfId="1" applyFont="1" applyAlignment="1" applyProtection="1">
      <alignment horizontal="center"/>
    </xf>
    <xf numFmtId="0" fontId="5" fillId="2" borderId="19" xfId="1" applyFont="1" applyFill="1" applyBorder="1" applyAlignment="1" applyProtection="1">
      <alignment horizontal="center" vertical="center" wrapText="1"/>
    </xf>
    <xf numFmtId="0" fontId="5" fillId="2" borderId="0" xfId="1" applyFont="1" applyFill="1" applyBorder="1" applyAlignment="1" applyProtection="1">
      <alignment horizontal="center" vertical="center" wrapText="1"/>
    </xf>
    <xf numFmtId="0" fontId="5" fillId="2" borderId="18" xfId="1" applyFont="1" applyFill="1" applyBorder="1" applyAlignment="1" applyProtection="1">
      <alignment horizontal="center" vertical="center" wrapText="1"/>
    </xf>
    <xf numFmtId="0" fontId="5" fillId="2" borderId="15" xfId="1" applyFont="1" applyFill="1" applyBorder="1" applyAlignment="1" applyProtection="1">
      <alignment horizontal="center" vertical="center"/>
    </xf>
    <xf numFmtId="0" fontId="5" fillId="2" borderId="16" xfId="1" applyFont="1" applyFill="1" applyBorder="1" applyAlignment="1" applyProtection="1">
      <alignment horizontal="center" vertical="center"/>
    </xf>
    <xf numFmtId="0" fontId="5" fillId="2" borderId="14" xfId="1" applyFont="1" applyFill="1" applyBorder="1" applyAlignment="1" applyProtection="1">
      <alignment horizontal="center" vertical="center"/>
    </xf>
    <xf numFmtId="0" fontId="111" fillId="2" borderId="11" xfId="1" applyFont="1" applyFill="1" applyBorder="1" applyAlignment="1" applyProtection="1">
      <alignment horizontal="left" vertical="center" wrapText="1"/>
    </xf>
    <xf numFmtId="0" fontId="111" fillId="2" borderId="10" xfId="1" applyFont="1" applyFill="1" applyBorder="1" applyAlignment="1" applyProtection="1">
      <alignment horizontal="left" vertical="center" wrapText="1"/>
    </xf>
    <xf numFmtId="0" fontId="111" fillId="2" borderId="9" xfId="1" applyFont="1" applyFill="1" applyBorder="1" applyAlignment="1" applyProtection="1">
      <alignment horizontal="left" vertical="center" wrapText="1"/>
    </xf>
    <xf numFmtId="0" fontId="5" fillId="2" borderId="13" xfId="1" applyFont="1" applyFill="1" applyBorder="1" applyAlignment="1" applyProtection="1">
      <alignment horizontal="center" vertical="center"/>
    </xf>
    <xf numFmtId="0" fontId="5" fillId="2" borderId="12" xfId="1" applyFont="1" applyFill="1" applyBorder="1" applyAlignment="1" applyProtection="1">
      <alignment horizontal="center" vertical="center"/>
    </xf>
    <xf numFmtId="168" fontId="2" fillId="26" borderId="0" xfId="1" applyNumberFormat="1" applyFont="1" applyFill="1" applyBorder="1" applyAlignment="1" applyProtection="1">
      <alignment horizontal="left" vertical="center"/>
      <protection locked="0"/>
    </xf>
    <xf numFmtId="168" fontId="2" fillId="26" borderId="18" xfId="1" applyNumberFormat="1" applyFont="1" applyFill="1" applyBorder="1" applyAlignment="1" applyProtection="1">
      <alignment horizontal="left" vertical="center"/>
      <protection locked="0"/>
    </xf>
    <xf numFmtId="0" fontId="2" fillId="2" borderId="12" xfId="72" applyFont="1" applyFill="1" applyBorder="1" applyAlignment="1" applyProtection="1">
      <alignment horizontal="left" vertical="center"/>
      <protection locked="0"/>
    </xf>
    <xf numFmtId="0" fontId="2" fillId="2" borderId="17" xfId="72" applyFont="1" applyFill="1" applyBorder="1" applyAlignment="1" applyProtection="1">
      <alignment horizontal="left" vertical="center"/>
      <protection locked="0"/>
    </xf>
    <xf numFmtId="0" fontId="43" fillId="26" borderId="0" xfId="0" applyFont="1" applyFill="1" applyBorder="1" applyAlignment="1" applyProtection="1">
      <alignment horizontal="left" vertical="center"/>
    </xf>
    <xf numFmtId="168" fontId="2" fillId="26" borderId="0" xfId="1" applyNumberFormat="1" applyFont="1" applyFill="1" applyBorder="1" applyAlignment="1" applyProtection="1">
      <alignment horizontal="left" vertical="center"/>
    </xf>
    <xf numFmtId="168" fontId="2" fillId="26" borderId="18" xfId="1" applyNumberFormat="1" applyFont="1" applyFill="1" applyBorder="1" applyAlignment="1" applyProtection="1">
      <alignment horizontal="left" vertical="center"/>
    </xf>
    <xf numFmtId="0" fontId="43" fillId="26" borderId="13" xfId="1" applyFont="1" applyFill="1" applyBorder="1" applyAlignment="1" applyProtection="1">
      <alignment vertical="center"/>
    </xf>
    <xf numFmtId="0" fontId="43" fillId="26" borderId="12" xfId="1" applyFont="1" applyFill="1" applyBorder="1" applyAlignment="1" applyProtection="1">
      <alignment vertical="center"/>
    </xf>
    <xf numFmtId="0" fontId="43" fillId="26" borderId="0" xfId="1" applyFont="1" applyFill="1" applyBorder="1" applyAlignment="1" applyProtection="1">
      <alignment horizontal="center" vertical="center"/>
    </xf>
    <xf numFmtId="0" fontId="2" fillId="26" borderId="0" xfId="1" applyFont="1" applyFill="1" applyBorder="1" applyAlignment="1" applyProtection="1">
      <alignment horizontal="left" vertical="center"/>
    </xf>
    <xf numFmtId="0" fontId="2" fillId="26" borderId="12" xfId="1" applyFont="1" applyFill="1" applyBorder="1" applyAlignment="1" applyProtection="1">
      <alignment horizontal="left" vertical="center"/>
    </xf>
    <xf numFmtId="0" fontId="1" fillId="2" borderId="19" xfId="1" applyFont="1" applyFill="1" applyBorder="1" applyAlignment="1" applyProtection="1">
      <alignment horizontal="center"/>
      <protection locked="0"/>
    </xf>
    <xf numFmtId="0" fontId="1" fillId="2" borderId="0" xfId="1" applyFont="1" applyFill="1" applyBorder="1" applyAlignment="1" applyProtection="1">
      <alignment horizontal="center"/>
      <protection locked="0"/>
    </xf>
    <xf numFmtId="0" fontId="1" fillId="2" borderId="18" xfId="1" applyFont="1" applyFill="1" applyBorder="1" applyAlignment="1" applyProtection="1">
      <alignment horizontal="center"/>
      <protection locked="0"/>
    </xf>
    <xf numFmtId="0" fontId="1" fillId="2" borderId="15" xfId="1" applyFont="1" applyFill="1" applyBorder="1" applyAlignment="1" applyProtection="1">
      <alignment horizontal="center"/>
      <protection locked="0"/>
    </xf>
    <xf numFmtId="0" fontId="1" fillId="2" borderId="16" xfId="1" applyFont="1" applyFill="1" applyBorder="1" applyAlignment="1" applyProtection="1">
      <alignment horizontal="center"/>
      <protection locked="0"/>
    </xf>
    <xf numFmtId="0" fontId="1" fillId="2" borderId="14" xfId="1" applyFont="1" applyFill="1" applyBorder="1" applyAlignment="1" applyProtection="1">
      <alignment horizontal="center"/>
      <protection locked="0"/>
    </xf>
    <xf numFmtId="0" fontId="111" fillId="0" borderId="11" xfId="1" applyFont="1" applyBorder="1" applyAlignment="1" applyProtection="1">
      <alignment horizontal="left" vertical="center"/>
    </xf>
    <xf numFmtId="0" fontId="111" fillId="0" borderId="10" xfId="1" applyFont="1" applyBorder="1" applyAlignment="1" applyProtection="1">
      <alignment horizontal="left" vertical="center"/>
    </xf>
    <xf numFmtId="0" fontId="111" fillId="0" borderId="9" xfId="1" applyFont="1" applyBorder="1" applyAlignment="1" applyProtection="1">
      <alignment horizontal="left" vertical="center"/>
    </xf>
    <xf numFmtId="0" fontId="43" fillId="26" borderId="19" xfId="1" applyFont="1" applyFill="1" applyBorder="1" applyAlignment="1" applyProtection="1">
      <alignment vertical="center"/>
    </xf>
    <xf numFmtId="0" fontId="43" fillId="26" borderId="0" xfId="1" applyFont="1" applyFill="1" applyBorder="1" applyAlignment="1" applyProtection="1">
      <alignment vertical="center"/>
    </xf>
    <xf numFmtId="0" fontId="43" fillId="26" borderId="121" xfId="1" applyFont="1" applyFill="1" applyBorder="1" applyAlignment="1" applyProtection="1">
      <alignment vertical="center"/>
    </xf>
    <xf numFmtId="0" fontId="43" fillId="26" borderId="39" xfId="1" applyFont="1" applyFill="1" applyBorder="1" applyAlignment="1" applyProtection="1">
      <alignment vertical="center"/>
    </xf>
    <xf numFmtId="0" fontId="2" fillId="26" borderId="39" xfId="1" applyFont="1" applyFill="1" applyBorder="1" applyAlignment="1" applyProtection="1">
      <alignment horizontal="left" vertical="center"/>
    </xf>
    <xf numFmtId="0" fontId="43" fillId="26" borderId="39" xfId="1" applyFont="1" applyFill="1" applyBorder="1" applyAlignment="1" applyProtection="1">
      <alignment horizontal="left" vertical="center"/>
    </xf>
    <xf numFmtId="0" fontId="43" fillId="26" borderId="0" xfId="1" applyFont="1" applyFill="1" applyBorder="1" applyAlignment="1" applyProtection="1">
      <alignment horizontal="right" vertical="center"/>
    </xf>
    <xf numFmtId="0" fontId="4" fillId="0" borderId="33" xfId="1" applyFont="1" applyBorder="1" applyAlignment="1" applyProtection="1">
      <alignment horizontal="left" vertical="center"/>
    </xf>
    <xf numFmtId="0" fontId="4" fillId="0" borderId="34" xfId="1" applyFont="1" applyBorder="1" applyAlignment="1" applyProtection="1">
      <alignment horizontal="left" vertical="center"/>
    </xf>
    <xf numFmtId="0" fontId="47" fillId="0" borderId="0" xfId="70" applyFont="1" applyFill="1" applyBorder="1" applyAlignment="1" applyProtection="1">
      <alignment horizontal="center" vertical="center" wrapText="1"/>
    </xf>
    <xf numFmtId="0" fontId="47" fillId="0" borderId="43" xfId="69" applyFont="1" applyBorder="1" applyAlignment="1" applyProtection="1">
      <alignment horizontal="center" vertical="center" wrapText="1"/>
    </xf>
    <xf numFmtId="0" fontId="77" fillId="0" borderId="0" xfId="68" applyFont="1" applyBorder="1" applyAlignment="1" applyProtection="1">
      <alignment horizontal="center"/>
      <protection locked="0"/>
    </xf>
    <xf numFmtId="0" fontId="77" fillId="0" borderId="37" xfId="68" applyFont="1" applyBorder="1" applyAlignment="1" applyProtection="1">
      <alignment horizontal="center"/>
      <protection locked="0"/>
    </xf>
    <xf numFmtId="0" fontId="4" fillId="0" borderId="0" xfId="68" applyFont="1" applyBorder="1" applyAlignment="1" applyProtection="1">
      <alignment horizontal="center"/>
    </xf>
    <xf numFmtId="0" fontId="4" fillId="0" borderId="18" xfId="68" applyFont="1" applyBorder="1" applyAlignment="1" applyProtection="1">
      <alignment horizontal="center"/>
    </xf>
    <xf numFmtId="0" fontId="4" fillId="0" borderId="59" xfId="68" applyFont="1" applyBorder="1" applyAlignment="1" applyProtection="1">
      <alignment horizontal="center"/>
      <protection locked="0"/>
    </xf>
    <xf numFmtId="0" fontId="4" fillId="0" borderId="60" xfId="68" applyFont="1" applyBorder="1" applyAlignment="1" applyProtection="1">
      <alignment horizontal="center"/>
      <protection locked="0"/>
    </xf>
    <xf numFmtId="0" fontId="4" fillId="0" borderId="19" xfId="68" quotePrefix="1" applyFont="1" applyBorder="1" applyAlignment="1" applyProtection="1">
      <alignment horizontal="center"/>
    </xf>
    <xf numFmtId="0" fontId="4" fillId="0" borderId="58" xfId="68" applyFont="1" applyBorder="1" applyAlignment="1" applyProtection="1">
      <alignment horizontal="center"/>
      <protection locked="0"/>
    </xf>
    <xf numFmtId="0" fontId="5" fillId="25" borderId="36" xfId="68" applyFont="1" applyFill="1" applyBorder="1" applyAlignment="1" applyProtection="1">
      <alignment horizontal="left" vertical="center" indent="3"/>
    </xf>
    <xf numFmtId="0" fontId="5" fillId="25" borderId="0" xfId="68" applyFont="1" applyFill="1" applyBorder="1" applyAlignment="1" applyProtection="1">
      <alignment horizontal="left" vertical="center" indent="3"/>
    </xf>
    <xf numFmtId="0" fontId="5" fillId="25" borderId="37" xfId="68" applyFont="1" applyFill="1" applyBorder="1" applyAlignment="1" applyProtection="1">
      <alignment horizontal="left" vertical="center" indent="3"/>
    </xf>
    <xf numFmtId="0" fontId="5" fillId="25" borderId="78" xfId="68" applyFont="1" applyFill="1" applyBorder="1" applyAlignment="1" applyProtection="1">
      <alignment horizontal="left" vertical="center" indent="3"/>
    </xf>
    <xf numFmtId="0" fontId="5" fillId="25" borderId="59" xfId="68" applyFont="1" applyFill="1" applyBorder="1" applyAlignment="1" applyProtection="1">
      <alignment horizontal="left" vertical="center" indent="3"/>
    </xf>
    <xf numFmtId="0" fontId="5" fillId="25" borderId="118" xfId="68" applyFont="1" applyFill="1" applyBorder="1" applyAlignment="1" applyProtection="1">
      <alignment horizontal="left" vertical="center" indent="3"/>
    </xf>
    <xf numFmtId="0" fontId="4" fillId="0" borderId="58" xfId="68" applyFont="1" applyBorder="1" applyAlignment="1" applyProtection="1">
      <alignment horizontal="center"/>
    </xf>
    <xf numFmtId="0" fontId="4" fillId="0" borderId="59" xfId="68" applyFont="1" applyBorder="1" applyAlignment="1" applyProtection="1">
      <alignment horizontal="center"/>
    </xf>
    <xf numFmtId="0" fontId="4" fillId="0" borderId="60" xfId="68" applyFont="1" applyBorder="1" applyAlignment="1" applyProtection="1">
      <alignment horizontal="center"/>
    </xf>
    <xf numFmtId="0" fontId="4" fillId="0" borderId="19" xfId="68" applyFont="1" applyBorder="1" applyAlignment="1" applyProtection="1">
      <alignment horizontal="center"/>
      <protection locked="0"/>
    </xf>
    <xf numFmtId="0" fontId="4" fillId="0" borderId="0" xfId="68" applyFont="1" applyBorder="1" applyAlignment="1" applyProtection="1">
      <alignment horizontal="center"/>
      <protection locked="0"/>
    </xf>
    <xf numFmtId="0" fontId="4" fillId="0" borderId="18" xfId="68" applyFont="1" applyBorder="1" applyAlignment="1" applyProtection="1">
      <alignment horizontal="center"/>
      <protection locked="0"/>
    </xf>
    <xf numFmtId="0" fontId="104" fillId="0" borderId="36" xfId="68" applyFont="1" applyBorder="1" applyAlignment="1" applyProtection="1">
      <alignment horizontal="center"/>
      <protection locked="0"/>
    </xf>
    <xf numFmtId="0" fontId="104" fillId="0" borderId="0" xfId="68" applyFont="1" applyBorder="1" applyAlignment="1" applyProtection="1">
      <alignment horizontal="center"/>
      <protection locked="0"/>
    </xf>
    <xf numFmtId="0" fontId="104" fillId="0" borderId="18" xfId="68" applyFont="1" applyBorder="1" applyAlignment="1" applyProtection="1">
      <alignment horizontal="center"/>
      <protection locked="0"/>
    </xf>
    <xf numFmtId="0" fontId="104" fillId="0" borderId="61" xfId="68" applyFont="1" applyBorder="1" applyAlignment="1" applyProtection="1">
      <alignment horizontal="center"/>
      <protection locked="0"/>
    </xf>
    <xf numFmtId="167" fontId="2" fillId="0" borderId="11" xfId="74" applyNumberFormat="1" applyFont="1" applyBorder="1" applyAlignment="1" applyProtection="1">
      <alignment horizontal="center" vertical="center"/>
      <protection locked="0"/>
    </xf>
    <xf numFmtId="167" fontId="2" fillId="0" borderId="9" xfId="74" applyNumberFormat="1" applyFont="1" applyBorder="1" applyAlignment="1" applyProtection="1">
      <alignment horizontal="center" vertical="center"/>
      <protection locked="0"/>
    </xf>
    <xf numFmtId="167" fontId="2" fillId="0" borderId="11" xfId="74" applyNumberFormat="1" applyFont="1" applyBorder="1" applyAlignment="1" applyProtection="1">
      <alignment horizontal="center" vertical="center"/>
    </xf>
    <xf numFmtId="167" fontId="2" fillId="0" borderId="9" xfId="74" applyNumberFormat="1" applyFont="1" applyBorder="1" applyAlignment="1" applyProtection="1">
      <alignment horizontal="center" vertical="center"/>
    </xf>
    <xf numFmtId="1" fontId="2" fillId="0" borderId="11" xfId="74" applyNumberFormat="1" applyFont="1" applyBorder="1" applyAlignment="1" applyProtection="1">
      <alignment horizontal="center" vertical="center"/>
    </xf>
    <xf numFmtId="1" fontId="2" fillId="0" borderId="9" xfId="74" applyNumberFormat="1" applyFont="1" applyBorder="1" applyAlignment="1" applyProtection="1">
      <alignment horizontal="center" vertical="center"/>
    </xf>
    <xf numFmtId="1" fontId="43" fillId="0" borderId="11" xfId="74" applyNumberFormat="1" applyFont="1" applyBorder="1" applyAlignment="1" applyProtection="1">
      <alignment horizontal="center" vertical="center"/>
    </xf>
    <xf numFmtId="1" fontId="43" fillId="0" borderId="10" xfId="74" applyNumberFormat="1" applyFont="1" applyBorder="1" applyAlignment="1" applyProtection="1">
      <alignment horizontal="center" vertical="center"/>
    </xf>
    <xf numFmtId="1" fontId="43" fillId="0" borderId="9" xfId="74" applyNumberFormat="1" applyFont="1" applyBorder="1" applyAlignment="1" applyProtection="1">
      <alignment horizontal="center" vertical="center"/>
    </xf>
    <xf numFmtId="0" fontId="4" fillId="0" borderId="11" xfId="74" applyFont="1" applyBorder="1" applyAlignment="1" applyProtection="1">
      <alignment horizontal="left" vertical="center" wrapText="1"/>
    </xf>
    <xf numFmtId="0" fontId="4" fillId="0" borderId="10" xfId="74" applyFont="1" applyBorder="1" applyAlignment="1" applyProtection="1">
      <alignment horizontal="left" vertical="center" wrapText="1"/>
    </xf>
    <xf numFmtId="0" fontId="4" fillId="0" borderId="11" xfId="74" applyFont="1" applyBorder="1" applyAlignment="1" applyProtection="1">
      <alignment horizontal="left" vertical="center"/>
    </xf>
    <xf numFmtId="0" fontId="4" fillId="0" borderId="10" xfId="74" applyFont="1" applyBorder="1" applyAlignment="1" applyProtection="1">
      <alignment horizontal="left" vertical="center"/>
    </xf>
    <xf numFmtId="0" fontId="2" fillId="26" borderId="0" xfId="74" applyFont="1" applyFill="1" applyBorder="1" applyAlignment="1" applyProtection="1">
      <alignment horizontal="left" vertical="center" wrapText="1"/>
    </xf>
    <xf numFmtId="0" fontId="2" fillId="26" borderId="0" xfId="70" applyFont="1" applyFill="1" applyBorder="1" applyAlignment="1" applyProtection="1">
      <alignment horizontal="left" vertical="center" wrapText="1"/>
    </xf>
    <xf numFmtId="0" fontId="2" fillId="0" borderId="11" xfId="74" applyFont="1" applyBorder="1" applyAlignment="1" applyProtection="1">
      <alignment horizontal="center" vertical="center"/>
      <protection locked="0"/>
    </xf>
    <xf numFmtId="0" fontId="2" fillId="0" borderId="9" xfId="74" applyFont="1" applyBorder="1" applyAlignment="1" applyProtection="1">
      <alignment horizontal="center" vertical="center"/>
      <protection locked="0"/>
    </xf>
    <xf numFmtId="0" fontId="5" fillId="28" borderId="13" xfId="74" applyFont="1" applyFill="1" applyBorder="1" applyAlignment="1" applyProtection="1">
      <alignment horizontal="center" vertical="center"/>
      <protection locked="0"/>
    </xf>
    <xf numFmtId="0" fontId="5" fillId="28" borderId="12" xfId="74" applyFont="1" applyFill="1" applyBorder="1" applyAlignment="1" applyProtection="1">
      <alignment horizontal="center" vertical="center"/>
      <protection locked="0"/>
    </xf>
    <xf numFmtId="0" fontId="5" fillId="28" borderId="17" xfId="74" applyFont="1" applyFill="1" applyBorder="1" applyAlignment="1" applyProtection="1">
      <alignment horizontal="center" vertical="center"/>
      <protection locked="0"/>
    </xf>
    <xf numFmtId="0" fontId="4" fillId="0" borderId="13" xfId="74" applyFont="1" applyBorder="1" applyAlignment="1" applyProtection="1">
      <alignment horizontal="left" vertical="center"/>
    </xf>
    <xf numFmtId="0" fontId="4" fillId="0" borderId="12" xfId="74" applyFont="1" applyBorder="1" applyAlignment="1" applyProtection="1">
      <alignment horizontal="left" vertical="center"/>
    </xf>
    <xf numFmtId="0" fontId="5" fillId="28" borderId="11" xfId="74" applyFont="1" applyFill="1" applyBorder="1" applyAlignment="1" applyProtection="1">
      <alignment horizontal="center" vertical="center"/>
    </xf>
    <xf numFmtId="0" fontId="5" fillId="28" borderId="9" xfId="74" applyFont="1" applyFill="1" applyBorder="1" applyAlignment="1" applyProtection="1">
      <alignment horizontal="center" vertical="center"/>
    </xf>
    <xf numFmtId="1" fontId="5" fillId="28" borderId="11" xfId="74" applyNumberFormat="1" applyFont="1" applyFill="1" applyBorder="1" applyAlignment="1" applyProtection="1">
      <alignment horizontal="center" vertical="center"/>
    </xf>
    <xf numFmtId="1" fontId="5" fillId="28" borderId="9" xfId="74" applyNumberFormat="1" applyFont="1" applyFill="1" applyBorder="1" applyAlignment="1" applyProtection="1">
      <alignment horizontal="center" vertical="center"/>
    </xf>
    <xf numFmtId="1" fontId="2" fillId="0" borderId="16" xfId="74" applyNumberFormat="1" applyFont="1" applyBorder="1" applyAlignment="1" applyProtection="1">
      <alignment horizontal="left" vertical="center"/>
    </xf>
    <xf numFmtId="0" fontId="4" fillId="0" borderId="13" xfId="74" applyFont="1" applyBorder="1" applyAlignment="1" applyProtection="1">
      <alignment horizontal="left" vertical="center" wrapText="1"/>
    </xf>
    <xf numFmtId="0" fontId="4" fillId="0" borderId="12" xfId="74" applyFont="1" applyBorder="1" applyAlignment="1" applyProtection="1">
      <alignment horizontal="left" vertical="center" wrapText="1"/>
    </xf>
    <xf numFmtId="0" fontId="5" fillId="0" borderId="19" xfId="74" applyFont="1" applyBorder="1" applyAlignment="1" applyProtection="1">
      <alignment horizontal="center" vertical="center" wrapText="1"/>
    </xf>
    <xf numFmtId="0" fontId="5" fillId="0" borderId="0" xfId="74" applyFont="1" applyBorder="1" applyAlignment="1" applyProtection="1">
      <alignment horizontal="center" vertical="center" wrapText="1"/>
    </xf>
    <xf numFmtId="0" fontId="5" fillId="0" borderId="18" xfId="74" applyFont="1" applyBorder="1" applyAlignment="1" applyProtection="1">
      <alignment horizontal="center" vertical="center" wrapText="1"/>
    </xf>
    <xf numFmtId="0" fontId="5" fillId="0" borderId="15" xfId="74" applyFont="1" applyBorder="1" applyAlignment="1" applyProtection="1">
      <alignment horizontal="center" vertical="center" wrapText="1"/>
    </xf>
    <xf numFmtId="0" fontId="5" fillId="0" borderId="16" xfId="74" applyFont="1" applyBorder="1" applyAlignment="1" applyProtection="1">
      <alignment horizontal="center" vertical="center" wrapText="1"/>
    </xf>
    <xf numFmtId="0" fontId="5" fillId="0" borderId="14" xfId="74" applyFont="1" applyBorder="1" applyAlignment="1" applyProtection="1">
      <alignment horizontal="center" vertical="center" wrapText="1"/>
    </xf>
    <xf numFmtId="0" fontId="111" fillId="26" borderId="11" xfId="74" applyFont="1" applyFill="1" applyBorder="1" applyAlignment="1" applyProtection="1">
      <alignment horizontal="left" vertical="center"/>
    </xf>
    <xf numFmtId="0" fontId="111" fillId="26" borderId="10" xfId="74" applyFont="1" applyFill="1" applyBorder="1" applyAlignment="1" applyProtection="1">
      <alignment horizontal="left" vertical="center"/>
    </xf>
    <xf numFmtId="0" fontId="111" fillId="26" borderId="9" xfId="74" applyFont="1" applyFill="1" applyBorder="1" applyAlignment="1" applyProtection="1">
      <alignment horizontal="left" vertical="center"/>
    </xf>
    <xf numFmtId="0" fontId="111" fillId="0" borderId="119" xfId="74" applyFont="1" applyBorder="1" applyAlignment="1" applyProtection="1">
      <alignment horizontal="left" vertical="center"/>
    </xf>
    <xf numFmtId="0" fontId="111" fillId="0" borderId="116" xfId="74" applyFont="1" applyBorder="1" applyAlignment="1" applyProtection="1">
      <alignment horizontal="left" vertical="center"/>
    </xf>
    <xf numFmtId="0" fontId="111" fillId="0" borderId="120" xfId="74" applyFont="1" applyBorder="1" applyAlignment="1" applyProtection="1">
      <alignment horizontal="left" vertical="center"/>
    </xf>
    <xf numFmtId="0" fontId="1" fillId="0" borderId="13" xfId="68" applyFont="1" applyBorder="1" applyAlignment="1" applyProtection="1">
      <alignment horizontal="center"/>
    </xf>
    <xf numFmtId="0" fontId="1" fillId="0" borderId="12" xfId="68" applyFont="1" applyBorder="1" applyAlignment="1" applyProtection="1">
      <alignment horizontal="center"/>
    </xf>
    <xf numFmtId="0" fontId="1" fillId="0" borderId="17" xfId="68" applyFont="1" applyBorder="1" applyAlignment="1" applyProtection="1">
      <alignment horizontal="center"/>
    </xf>
    <xf numFmtId="0" fontId="1" fillId="0" borderId="19" xfId="68" applyFont="1" applyBorder="1" applyAlignment="1" applyProtection="1">
      <alignment horizontal="center"/>
    </xf>
    <xf numFmtId="0" fontId="1" fillId="0" borderId="0" xfId="68" applyFont="1" applyBorder="1" applyAlignment="1" applyProtection="1">
      <alignment horizontal="center"/>
    </xf>
    <xf numFmtId="0" fontId="1" fillId="0" borderId="18" xfId="68" applyFont="1" applyBorder="1" applyAlignment="1" applyProtection="1">
      <alignment horizontal="center"/>
    </xf>
    <xf numFmtId="0" fontId="1" fillId="0" borderId="15" xfId="68" applyFont="1" applyBorder="1" applyAlignment="1" applyProtection="1">
      <alignment horizontal="center"/>
    </xf>
    <xf numFmtId="0" fontId="1" fillId="0" borderId="16" xfId="68" applyFont="1" applyBorder="1" applyAlignment="1" applyProtection="1">
      <alignment horizontal="center"/>
    </xf>
    <xf numFmtId="0" fontId="1" fillId="0" borderId="14" xfId="68" applyFont="1" applyBorder="1" applyAlignment="1" applyProtection="1">
      <alignment horizontal="center"/>
    </xf>
    <xf numFmtId="0" fontId="5" fillId="0" borderId="13" xfId="68" applyFont="1" applyBorder="1" applyAlignment="1" applyProtection="1">
      <alignment horizontal="center" vertical="center"/>
    </xf>
    <xf numFmtId="0" fontId="5" fillId="0" borderId="12" xfId="68" applyFont="1" applyBorder="1" applyAlignment="1" applyProtection="1">
      <alignment horizontal="center" vertical="center"/>
    </xf>
    <xf numFmtId="0" fontId="5" fillId="0" borderId="17" xfId="68" applyFont="1" applyBorder="1" applyAlignment="1" applyProtection="1">
      <alignment horizontal="center" vertical="center"/>
    </xf>
    <xf numFmtId="0" fontId="5" fillId="25" borderId="19" xfId="68" applyFont="1" applyFill="1" applyBorder="1" applyAlignment="1" applyProtection="1">
      <alignment horizontal="center"/>
    </xf>
    <xf numFmtId="0" fontId="5" fillId="25" borderId="0" xfId="68" applyFont="1" applyFill="1" applyBorder="1" applyAlignment="1" applyProtection="1">
      <alignment horizontal="center"/>
    </xf>
    <xf numFmtId="0" fontId="5" fillId="25" borderId="18" xfId="68" applyFont="1" applyFill="1" applyBorder="1" applyAlignment="1" applyProtection="1">
      <alignment horizontal="center"/>
    </xf>
    <xf numFmtId="0" fontId="4" fillId="26" borderId="12" xfId="74" applyFont="1" applyFill="1" applyBorder="1" applyAlignment="1" applyProtection="1">
      <alignment horizontal="left" vertical="top" wrapText="1"/>
      <protection locked="0"/>
    </xf>
    <xf numFmtId="0" fontId="4" fillId="26" borderId="17" xfId="74" applyFont="1" applyFill="1" applyBorder="1" applyAlignment="1" applyProtection="1">
      <alignment horizontal="left" vertical="top" wrapText="1"/>
      <protection locked="0"/>
    </xf>
    <xf numFmtId="0" fontId="5" fillId="25" borderId="36" xfId="74" applyFont="1" applyFill="1" applyBorder="1" applyAlignment="1" applyProtection="1">
      <alignment horizontal="center"/>
      <protection locked="0"/>
    </xf>
    <xf numFmtId="0" fontId="5" fillId="25" borderId="0" xfId="74" applyFont="1" applyFill="1" applyBorder="1" applyAlignment="1" applyProtection="1">
      <alignment horizontal="center"/>
      <protection locked="0"/>
    </xf>
    <xf numFmtId="0" fontId="5" fillId="25" borderId="37" xfId="74" applyFont="1" applyFill="1" applyBorder="1" applyAlignment="1" applyProtection="1">
      <alignment horizontal="center"/>
      <protection locked="0"/>
    </xf>
    <xf numFmtId="0" fontId="5" fillId="26" borderId="13" xfId="74" applyFont="1" applyFill="1" applyBorder="1" applyAlignment="1" applyProtection="1">
      <alignment horizontal="center" vertical="top" wrapText="1"/>
    </xf>
    <xf numFmtId="0" fontId="5" fillId="26" borderId="12" xfId="74" applyFont="1" applyFill="1" applyBorder="1" applyAlignment="1" applyProtection="1">
      <alignment horizontal="center" vertical="top" wrapText="1"/>
    </xf>
    <xf numFmtId="0" fontId="43" fillId="26" borderId="34" xfId="0" applyFont="1" applyFill="1" applyBorder="1" applyAlignment="1" applyProtection="1">
      <alignment vertical="center"/>
    </xf>
    <xf numFmtId="0" fontId="43" fillId="26" borderId="0" xfId="74" applyFont="1" applyFill="1" applyBorder="1" applyAlignment="1" applyProtection="1">
      <alignment vertical="center"/>
    </xf>
    <xf numFmtId="0" fontId="43" fillId="0" borderId="16" xfId="74" applyFont="1" applyBorder="1" applyAlignment="1" applyProtection="1">
      <alignment vertical="center"/>
      <protection locked="0"/>
    </xf>
    <xf numFmtId="0" fontId="43" fillId="26" borderId="107" xfId="0" applyFont="1" applyFill="1" applyBorder="1" applyAlignment="1" applyProtection="1">
      <alignment vertical="center"/>
    </xf>
    <xf numFmtId="168" fontId="2" fillId="26" borderId="0" xfId="74" applyNumberFormat="1" applyFont="1" applyFill="1" applyBorder="1" applyAlignment="1" applyProtection="1">
      <alignment horizontal="left" vertical="center"/>
    </xf>
    <xf numFmtId="168" fontId="2" fillId="26" borderId="18" xfId="74" applyNumberFormat="1" applyFont="1" applyFill="1" applyBorder="1" applyAlignment="1" applyProtection="1">
      <alignment horizontal="left" vertical="center"/>
    </xf>
    <xf numFmtId="168" fontId="2" fillId="26" borderId="0" xfId="74" applyNumberFormat="1" applyFont="1" applyFill="1" applyBorder="1" applyAlignment="1" applyProtection="1">
      <alignment horizontal="left" vertical="center"/>
      <protection locked="0"/>
    </xf>
    <xf numFmtId="168" fontId="2" fillId="26" borderId="18" xfId="74" applyNumberFormat="1" applyFont="1" applyFill="1" applyBorder="1" applyAlignment="1" applyProtection="1">
      <alignment horizontal="left" vertical="center"/>
      <protection locked="0"/>
    </xf>
    <xf numFmtId="168" fontId="2" fillId="26" borderId="16" xfId="74" applyNumberFormat="1" applyFont="1" applyFill="1" applyBorder="1" applyAlignment="1" applyProtection="1">
      <alignment horizontal="left" vertical="center"/>
    </xf>
    <xf numFmtId="168" fontId="2" fillId="26" borderId="14" xfId="74" applyNumberFormat="1" applyFont="1" applyFill="1" applyBorder="1" applyAlignment="1" applyProtection="1">
      <alignment horizontal="left" vertical="center"/>
    </xf>
    <xf numFmtId="0" fontId="4" fillId="26" borderId="225" xfId="71" applyFont="1" applyFill="1" applyBorder="1" applyAlignment="1" applyProtection="1">
      <alignment horizontal="left" vertical="center"/>
      <protection locked="0"/>
    </xf>
    <xf numFmtId="0" fontId="4" fillId="26" borderId="226" xfId="71" applyFont="1" applyFill="1" applyBorder="1" applyAlignment="1" applyProtection="1">
      <alignment horizontal="left" vertical="center" wrapText="1"/>
    </xf>
    <xf numFmtId="0" fontId="4" fillId="26" borderId="227" xfId="71" applyFont="1" applyFill="1" applyBorder="1" applyAlignment="1" applyProtection="1">
      <alignment horizontal="left" vertical="center" wrapText="1"/>
    </xf>
    <xf numFmtId="0" fontId="4" fillId="26" borderId="228" xfId="71" applyFont="1" applyFill="1" applyBorder="1" applyAlignment="1" applyProtection="1">
      <alignment horizontal="left" vertical="center" wrapText="1"/>
    </xf>
    <xf numFmtId="0" fontId="4" fillId="26" borderId="229" xfId="71" applyFont="1" applyFill="1" applyBorder="1" applyAlignment="1" applyProtection="1">
      <alignment horizontal="left" vertical="center" wrapText="1"/>
    </xf>
    <xf numFmtId="0" fontId="1" fillId="0" borderId="9" xfId="71" applyFont="1" applyBorder="1" applyAlignment="1" applyProtection="1">
      <alignment horizontal="center"/>
    </xf>
    <xf numFmtId="0" fontId="1" fillId="0" borderId="56" xfId="71" applyFont="1" applyBorder="1" applyAlignment="1" applyProtection="1">
      <alignment horizontal="center"/>
    </xf>
    <xf numFmtId="0" fontId="5" fillId="0" borderId="13" xfId="71" applyFont="1" applyBorder="1" applyAlignment="1" applyProtection="1">
      <alignment horizontal="center" vertical="center" wrapText="1"/>
    </xf>
    <xf numFmtId="0" fontId="5" fillId="0" borderId="12" xfId="71" applyFont="1" applyBorder="1" applyAlignment="1" applyProtection="1">
      <alignment horizontal="center" vertical="center" wrapText="1"/>
    </xf>
    <xf numFmtId="0" fontId="5" fillId="0" borderId="17" xfId="71" applyFont="1" applyBorder="1" applyAlignment="1" applyProtection="1">
      <alignment horizontal="center" vertical="center" wrapText="1"/>
    </xf>
    <xf numFmtId="0" fontId="5" fillId="0" borderId="19" xfId="71" applyFont="1" applyBorder="1" applyAlignment="1" applyProtection="1">
      <alignment horizontal="center" vertical="center" wrapText="1"/>
    </xf>
    <xf numFmtId="0" fontId="5" fillId="0" borderId="0" xfId="71" applyFont="1" applyBorder="1" applyAlignment="1" applyProtection="1">
      <alignment horizontal="center" vertical="center" wrapText="1"/>
    </xf>
    <xf numFmtId="0" fontId="5" fillId="0" borderId="18" xfId="71" applyFont="1" applyBorder="1" applyAlignment="1" applyProtection="1">
      <alignment horizontal="center" vertical="center" wrapText="1"/>
    </xf>
    <xf numFmtId="0" fontId="5" fillId="0" borderId="15" xfId="71" applyFont="1" applyBorder="1" applyAlignment="1" applyProtection="1">
      <alignment horizontal="center" vertical="center" wrapText="1"/>
    </xf>
    <xf numFmtId="0" fontId="5" fillId="0" borderId="220" xfId="71" applyFont="1" applyBorder="1" applyAlignment="1" applyProtection="1">
      <alignment horizontal="center" vertical="center" wrapText="1"/>
    </xf>
    <xf numFmtId="0" fontId="5" fillId="0" borderId="14" xfId="71" applyFont="1" applyBorder="1" applyAlignment="1" applyProtection="1">
      <alignment horizontal="center" vertical="center" wrapText="1"/>
    </xf>
    <xf numFmtId="0" fontId="111" fillId="0" borderId="11" xfId="71" applyFont="1" applyBorder="1" applyAlignment="1" applyProtection="1">
      <alignment horizontal="left" vertical="center"/>
    </xf>
    <xf numFmtId="0" fontId="111" fillId="0" borderId="10" xfId="71" applyFont="1" applyBorder="1" applyAlignment="1" applyProtection="1">
      <alignment horizontal="left" vertical="center"/>
    </xf>
    <xf numFmtId="0" fontId="111" fillId="0" borderId="9" xfId="71" applyFont="1" applyBorder="1" applyAlignment="1" applyProtection="1">
      <alignment horizontal="left" vertical="center"/>
    </xf>
    <xf numFmtId="0" fontId="43" fillId="26" borderId="13" xfId="71" applyFont="1" applyFill="1" applyBorder="1" applyAlignment="1" applyProtection="1">
      <alignment vertical="center"/>
    </xf>
    <xf numFmtId="0" fontId="43" fillId="26" borderId="12" xfId="71" applyFont="1" applyFill="1" applyBorder="1" applyAlignment="1" applyProtection="1">
      <alignment vertical="center"/>
    </xf>
    <xf numFmtId="0" fontId="126" fillId="26" borderId="12" xfId="68" applyFont="1" applyFill="1" applyBorder="1" applyAlignment="1" applyProtection="1">
      <alignment horizontal="left" vertical="center"/>
    </xf>
    <xf numFmtId="0" fontId="43" fillId="26" borderId="12" xfId="71" applyFont="1" applyFill="1" applyBorder="1" applyAlignment="1" applyProtection="1">
      <alignment vertical="center" wrapText="1"/>
    </xf>
    <xf numFmtId="0" fontId="2" fillId="26" borderId="12" xfId="71" applyFont="1" applyFill="1" applyBorder="1" applyAlignment="1" applyProtection="1">
      <alignment horizontal="left" vertical="center" wrapText="1"/>
      <protection locked="0"/>
    </xf>
    <xf numFmtId="0" fontId="43" fillId="26" borderId="19" xfId="71" applyFont="1" applyFill="1" applyBorder="1" applyAlignment="1" applyProtection="1">
      <alignment vertical="center" wrapText="1"/>
    </xf>
    <xf numFmtId="0" fontId="43" fillId="26" borderId="0" xfId="71" applyFont="1" applyFill="1" applyBorder="1" applyAlignment="1" applyProtection="1">
      <alignment vertical="center" wrapText="1"/>
    </xf>
    <xf numFmtId="0" fontId="2" fillId="2" borderId="0" xfId="150" applyFont="1" applyFill="1" applyBorder="1" applyAlignment="1" applyProtection="1">
      <alignment horizontal="left" vertical="center"/>
    </xf>
    <xf numFmtId="0" fontId="2" fillId="2" borderId="0" xfId="210" applyFont="1" applyFill="1" applyBorder="1" applyAlignment="1" applyProtection="1">
      <alignment horizontal="left"/>
    </xf>
    <xf numFmtId="0" fontId="2" fillId="26" borderId="0" xfId="71" applyFont="1" applyFill="1" applyBorder="1" applyAlignment="1" applyProtection="1">
      <alignment horizontal="left" wrapText="1"/>
    </xf>
    <xf numFmtId="0" fontId="43" fillId="26" borderId="0" xfId="71" applyFont="1" applyFill="1" applyBorder="1" applyAlignment="1" applyProtection="1">
      <alignment vertical="center"/>
    </xf>
    <xf numFmtId="168" fontId="2" fillId="26" borderId="0" xfId="71" applyNumberFormat="1" applyFont="1" applyFill="1" applyBorder="1" applyAlignment="1" applyProtection="1">
      <alignment horizontal="left" vertical="center" wrapText="1"/>
    </xf>
    <xf numFmtId="0" fontId="43" fillId="26" borderId="15" xfId="71" applyFont="1" applyFill="1" applyBorder="1" applyAlignment="1" applyProtection="1">
      <alignment vertical="center" wrapText="1"/>
    </xf>
    <xf numFmtId="0" fontId="43" fillId="26" borderId="220" xfId="71" applyFont="1" applyFill="1" applyBorder="1" applyAlignment="1" applyProtection="1">
      <alignment vertical="center" wrapText="1"/>
    </xf>
    <xf numFmtId="168" fontId="2" fillId="26" borderId="220" xfId="71" applyNumberFormat="1" applyFont="1" applyFill="1" applyBorder="1" applyAlignment="1" applyProtection="1">
      <alignment horizontal="left" vertical="center" wrapText="1"/>
    </xf>
    <xf numFmtId="0" fontId="43" fillId="26" borderId="19" xfId="150" applyFont="1" applyFill="1" applyBorder="1" applyAlignment="1" applyProtection="1">
      <alignment horizontal="left" vertical="center"/>
    </xf>
    <xf numFmtId="0" fontId="43" fillId="26" borderId="0" xfId="150" applyFont="1" applyFill="1" applyBorder="1" applyAlignment="1" applyProtection="1">
      <alignment horizontal="left" vertical="center"/>
    </xf>
    <xf numFmtId="0" fontId="2" fillId="2" borderId="0" xfId="150" applyFont="1" applyFill="1" applyBorder="1" applyAlignment="1" applyProtection="1">
      <alignment horizontal="left" vertical="center" wrapText="1"/>
    </xf>
    <xf numFmtId="0" fontId="43" fillId="26" borderId="0" xfId="150" applyFont="1" applyFill="1" applyBorder="1" applyAlignment="1" applyProtection="1">
      <alignment vertical="center"/>
    </xf>
    <xf numFmtId="0" fontId="2" fillId="2" borderId="220" xfId="150" applyFont="1" applyFill="1" applyBorder="1" applyAlignment="1" applyProtection="1">
      <alignment vertical="center"/>
    </xf>
    <xf numFmtId="0" fontId="43" fillId="26" borderId="220" xfId="150" applyFont="1" applyFill="1" applyBorder="1" applyAlignment="1" applyProtection="1">
      <alignment vertical="center"/>
    </xf>
    <xf numFmtId="0" fontId="4" fillId="0" borderId="56" xfId="71" applyFont="1" applyFill="1" applyBorder="1" applyAlignment="1" applyProtection="1">
      <alignment horizontal="center"/>
      <protection locked="0"/>
    </xf>
    <xf numFmtId="0" fontId="4" fillId="26" borderId="222" xfId="71" applyFont="1" applyFill="1" applyBorder="1" applyAlignment="1" applyProtection="1">
      <alignment vertical="center"/>
    </xf>
    <xf numFmtId="0" fontId="4" fillId="26" borderId="223" xfId="71" applyFont="1" applyFill="1" applyBorder="1" applyAlignment="1" applyProtection="1">
      <alignment vertical="center"/>
    </xf>
    <xf numFmtId="0" fontId="4" fillId="26" borderId="225" xfId="71" applyFont="1" applyFill="1" applyBorder="1" applyAlignment="1" applyProtection="1">
      <alignment horizontal="center" vertical="center"/>
      <protection locked="0"/>
    </xf>
    <xf numFmtId="0" fontId="110" fillId="0" borderId="56" xfId="71" applyFont="1" applyFill="1" applyBorder="1" applyAlignment="1" applyProtection="1">
      <alignment horizontal="center" wrapText="1"/>
      <protection locked="0"/>
    </xf>
    <xf numFmtId="0" fontId="4" fillId="0" borderId="56" xfId="71" applyFont="1" applyFill="1" applyBorder="1" applyAlignment="1" applyProtection="1">
      <alignment horizontal="center" wrapText="1"/>
      <protection locked="0"/>
    </xf>
    <xf numFmtId="0" fontId="5" fillId="25" borderId="11" xfId="71" applyFont="1" applyFill="1" applyBorder="1" applyAlignment="1" applyProtection="1">
      <alignment horizontal="center" vertical="center" wrapText="1"/>
    </xf>
    <xf numFmtId="0" fontId="5" fillId="25" borderId="10" xfId="71" applyFont="1" applyFill="1" applyBorder="1" applyAlignment="1" applyProtection="1">
      <alignment horizontal="center" vertical="center" wrapText="1"/>
    </xf>
    <xf numFmtId="0" fontId="5" fillId="25" borderId="9" xfId="71" applyFont="1" applyFill="1" applyBorder="1" applyAlignment="1" applyProtection="1">
      <alignment horizontal="center" vertical="center" wrapText="1"/>
    </xf>
    <xf numFmtId="0" fontId="4" fillId="26" borderId="13" xfId="71" applyFont="1" applyFill="1" applyBorder="1" applyAlignment="1" applyProtection="1">
      <alignment horizontal="left" vertical="center"/>
    </xf>
    <xf numFmtId="0" fontId="4" fillId="26" borderId="12" xfId="71" applyFont="1" applyFill="1" applyBorder="1" applyAlignment="1" applyProtection="1">
      <alignment horizontal="left" vertical="center"/>
    </xf>
    <xf numFmtId="0" fontId="4" fillId="26" borderId="29" xfId="71" applyFont="1" applyFill="1" applyBorder="1" applyAlignment="1" applyProtection="1">
      <alignment horizontal="center" vertical="center"/>
      <protection locked="0"/>
    </xf>
    <xf numFmtId="0" fontId="4" fillId="0" borderId="222" xfId="71" applyFont="1" applyFill="1" applyBorder="1" applyAlignment="1" applyProtection="1">
      <alignment vertical="center" wrapText="1"/>
    </xf>
    <xf numFmtId="0" fontId="4" fillId="0" borderId="223" xfId="71" applyFont="1" applyFill="1" applyBorder="1" applyAlignment="1" applyProtection="1">
      <alignment vertical="center" wrapText="1"/>
    </xf>
    <xf numFmtId="1" fontId="4" fillId="0" borderId="225" xfId="71" applyNumberFormat="1" applyFont="1" applyFill="1" applyBorder="1" applyAlignment="1" applyProtection="1">
      <alignment horizontal="center" vertical="center"/>
      <protection locked="0"/>
    </xf>
    <xf numFmtId="0" fontId="4" fillId="26" borderId="222" xfId="71" applyFont="1" applyFill="1" applyBorder="1" applyAlignment="1" applyProtection="1">
      <alignment horizontal="left" vertical="center" wrapText="1"/>
    </xf>
    <xf numFmtId="0" fontId="4" fillId="26" borderId="223" xfId="71" applyFont="1" applyFill="1" applyBorder="1" applyAlignment="1" applyProtection="1">
      <alignment horizontal="left" vertical="center" wrapText="1"/>
    </xf>
    <xf numFmtId="0" fontId="4" fillId="26" borderId="222" xfId="71" applyFont="1" applyFill="1" applyBorder="1" applyAlignment="1" applyProtection="1">
      <alignment horizontal="left" vertical="center"/>
    </xf>
    <xf numFmtId="0" fontId="4" fillId="26" borderId="223" xfId="71" applyFont="1" applyFill="1" applyBorder="1" applyAlignment="1" applyProtection="1">
      <alignment horizontal="left" vertical="center"/>
    </xf>
    <xf numFmtId="0" fontId="4" fillId="26" borderId="224" xfId="71" applyFont="1" applyFill="1" applyBorder="1" applyAlignment="1" applyProtection="1">
      <alignment horizontal="left" vertical="center"/>
    </xf>
    <xf numFmtId="0" fontId="149" fillId="25" borderId="13" xfId="71" applyFont="1" applyFill="1" applyBorder="1" applyAlignment="1" applyProtection="1">
      <alignment horizontal="left" vertical="center"/>
    </xf>
    <xf numFmtId="0" fontId="149" fillId="25" borderId="17" xfId="71" applyFont="1" applyFill="1" applyBorder="1" applyAlignment="1" applyProtection="1">
      <alignment horizontal="left" vertical="center"/>
    </xf>
    <xf numFmtId="0" fontId="3" fillId="25" borderId="13" xfId="68" applyFont="1" applyFill="1" applyBorder="1" applyAlignment="1" applyProtection="1">
      <alignment horizontal="center" vertical="center"/>
    </xf>
    <xf numFmtId="0" fontId="3" fillId="25" borderId="12" xfId="68" applyFont="1" applyFill="1" applyBorder="1" applyAlignment="1" applyProtection="1">
      <alignment horizontal="center" vertical="center"/>
    </xf>
    <xf numFmtId="0" fontId="3" fillId="25" borderId="17" xfId="68" applyFont="1" applyFill="1" applyBorder="1" applyAlignment="1" applyProtection="1">
      <alignment horizontal="center" vertical="center"/>
    </xf>
    <xf numFmtId="167" fontId="4" fillId="0" borderId="225" xfId="71" applyNumberFormat="1" applyFont="1" applyFill="1" applyBorder="1" applyAlignment="1" applyProtection="1">
      <alignment horizontal="center" vertical="center"/>
      <protection locked="0"/>
    </xf>
    <xf numFmtId="0" fontId="4" fillId="0" borderId="15" xfId="71" applyFont="1" applyFill="1" applyBorder="1" applyAlignment="1" applyProtection="1">
      <alignment vertical="center" wrapText="1"/>
    </xf>
    <xf numFmtId="0" fontId="4" fillId="0" borderId="220" xfId="71" applyFont="1" applyFill="1" applyBorder="1" applyAlignment="1" applyProtection="1">
      <alignment vertical="center" wrapText="1"/>
    </xf>
    <xf numFmtId="167" fontId="5" fillId="0" borderId="62" xfId="71" applyNumberFormat="1" applyFont="1" applyBorder="1" applyAlignment="1" applyProtection="1">
      <alignment horizontal="center" vertical="center"/>
    </xf>
    <xf numFmtId="0" fontId="3" fillId="26" borderId="220" xfId="71" applyFont="1" applyFill="1" applyBorder="1" applyAlignment="1" applyProtection="1">
      <alignment horizontal="left" vertical="top" wrapText="1"/>
    </xf>
    <xf numFmtId="0" fontId="3" fillId="26" borderId="10" xfId="71" applyFont="1" applyFill="1" applyBorder="1" applyAlignment="1" applyProtection="1">
      <alignment horizontal="left" vertical="top" wrapText="1"/>
    </xf>
    <xf numFmtId="0" fontId="3" fillId="26" borderId="14" xfId="71" applyFont="1" applyFill="1" applyBorder="1" applyAlignment="1" applyProtection="1">
      <alignment horizontal="left" vertical="top" wrapText="1"/>
    </xf>
    <xf numFmtId="0" fontId="3" fillId="0" borderId="11" xfId="71" applyFont="1" applyFill="1" applyBorder="1" applyAlignment="1" applyProtection="1">
      <alignment horizontal="center" vertical="top"/>
    </xf>
    <xf numFmtId="0" fontId="3" fillId="0" borderId="10" xfId="71" applyFont="1" applyFill="1" applyBorder="1" applyAlignment="1" applyProtection="1">
      <alignment horizontal="center" vertical="top"/>
    </xf>
    <xf numFmtId="0" fontId="49" fillId="0" borderId="10" xfId="211" applyFont="1" applyBorder="1" applyAlignment="1" applyProtection="1">
      <alignment horizontal="center"/>
      <protection locked="0"/>
    </xf>
    <xf numFmtId="0" fontId="49" fillId="0" borderId="9" xfId="211" applyFont="1" applyBorder="1" applyAlignment="1" applyProtection="1">
      <alignment horizontal="center"/>
      <protection locked="0"/>
    </xf>
    <xf numFmtId="0" fontId="43" fillId="0" borderId="19" xfId="68" applyFont="1" applyBorder="1" applyAlignment="1" applyProtection="1"/>
    <xf numFmtId="0" fontId="43" fillId="0" borderId="18" xfId="68" applyFont="1" applyBorder="1" applyAlignment="1" applyProtection="1"/>
    <xf numFmtId="0" fontId="55" fillId="0" borderId="19" xfId="68" applyFont="1" applyBorder="1" applyAlignment="1" applyProtection="1">
      <alignment horizontal="center"/>
    </xf>
    <xf numFmtId="0" fontId="55" fillId="0" borderId="0" xfId="68" applyFont="1" applyBorder="1" applyAlignment="1" applyProtection="1">
      <alignment horizontal="center"/>
    </xf>
    <xf numFmtId="0" fontId="55" fillId="0" borderId="18" xfId="68" applyFont="1" applyBorder="1" applyAlignment="1" applyProtection="1">
      <alignment horizontal="center"/>
    </xf>
    <xf numFmtId="0" fontId="43" fillId="0" borderId="19" xfId="68" applyFont="1" applyBorder="1" applyAlignment="1" applyProtection="1">
      <alignment vertical="center"/>
      <protection locked="0"/>
    </xf>
    <xf numFmtId="0" fontId="43" fillId="0" borderId="18" xfId="68" applyFont="1" applyBorder="1" applyAlignment="1" applyProtection="1">
      <alignment vertical="center"/>
      <protection locked="0"/>
    </xf>
    <xf numFmtId="0" fontId="1" fillId="0" borderId="19" xfId="68" quotePrefix="1" applyFont="1" applyBorder="1" applyAlignment="1" applyProtection="1">
      <alignment horizontal="center"/>
      <protection locked="0"/>
    </xf>
    <xf numFmtId="0" fontId="1" fillId="0" borderId="0" xfId="68" applyFont="1" applyBorder="1" applyAlignment="1" applyProtection="1">
      <alignment horizontal="center"/>
      <protection locked="0"/>
    </xf>
    <xf numFmtId="0" fontId="1" fillId="0" borderId="18" xfId="68" applyFont="1" applyBorder="1" applyAlignment="1" applyProtection="1">
      <alignment horizontal="center"/>
      <protection locked="0"/>
    </xf>
    <xf numFmtId="0" fontId="55" fillId="0" borderId="19" xfId="68" quotePrefix="1" applyFont="1" applyBorder="1" applyAlignment="1" applyProtection="1">
      <alignment horizontal="center"/>
      <protection locked="0"/>
    </xf>
    <xf numFmtId="0" fontId="55" fillId="0" borderId="0" xfId="68" applyFont="1" applyBorder="1" applyAlignment="1" applyProtection="1">
      <alignment horizontal="center"/>
      <protection locked="0"/>
    </xf>
    <xf numFmtId="0" fontId="55" fillId="0" borderId="18" xfId="68" applyFont="1" applyBorder="1" applyAlignment="1" applyProtection="1">
      <alignment horizontal="center"/>
      <protection locked="0"/>
    </xf>
    <xf numFmtId="0" fontId="55" fillId="0" borderId="0" xfId="68" quotePrefix="1" applyFont="1" applyBorder="1" applyAlignment="1" applyProtection="1">
      <alignment horizontal="center"/>
      <protection locked="0"/>
    </xf>
    <xf numFmtId="0" fontId="1" fillId="0" borderId="19" xfId="68" applyFont="1" applyBorder="1" applyAlignment="1" applyProtection="1">
      <alignment horizontal="center"/>
      <protection locked="0"/>
    </xf>
    <xf numFmtId="0" fontId="55" fillId="0" borderId="19" xfId="68" applyFont="1" applyBorder="1" applyAlignment="1" applyProtection="1">
      <alignment horizontal="center"/>
      <protection locked="0"/>
    </xf>
    <xf numFmtId="0" fontId="47" fillId="0" borderId="63" xfId="69" applyFont="1" applyBorder="1" applyAlignment="1" applyProtection="1">
      <alignment horizontal="center" wrapText="1"/>
    </xf>
    <xf numFmtId="0" fontId="152" fillId="2" borderId="56" xfId="21" applyFont="1" applyFill="1" applyBorder="1" applyAlignment="1" applyProtection="1"/>
    <xf numFmtId="0" fontId="1" fillId="2" borderId="0" xfId="21" applyFill="1" applyProtection="1"/>
    <xf numFmtId="0" fontId="1" fillId="2" borderId="18" xfId="21" applyFill="1" applyBorder="1" applyProtection="1"/>
    <xf numFmtId="1" fontId="2" fillId="2" borderId="11" xfId="21" applyNumberFormat="1" applyFont="1" applyFill="1" applyBorder="1" applyAlignment="1" applyProtection="1">
      <alignment horizontal="center" vertical="center"/>
    </xf>
    <xf numFmtId="1" fontId="2" fillId="2" borderId="10" xfId="21" applyNumberFormat="1" applyFont="1" applyFill="1" applyBorder="1" applyAlignment="1" applyProtection="1">
      <alignment horizontal="center" vertical="center"/>
    </xf>
    <xf numFmtId="1" fontId="2" fillId="2" borderId="9" xfId="21" applyNumberFormat="1" applyFont="1" applyFill="1" applyBorder="1" applyAlignment="1" applyProtection="1">
      <alignment horizontal="center" vertical="center"/>
    </xf>
    <xf numFmtId="0" fontId="1" fillId="2" borderId="56" xfId="21" applyFill="1" applyBorder="1" applyProtection="1">
      <protection locked="0"/>
    </xf>
    <xf numFmtId="0" fontId="1" fillId="2" borderId="11" xfId="21" applyFill="1" applyBorder="1" applyProtection="1"/>
    <xf numFmtId="0" fontId="1" fillId="2" borderId="10" xfId="21" applyFill="1" applyBorder="1" applyProtection="1"/>
    <xf numFmtId="0" fontId="1" fillId="2" borderId="9" xfId="21" applyFill="1" applyBorder="1" applyProtection="1"/>
    <xf numFmtId="0" fontId="1" fillId="2" borderId="11" xfId="21" applyFill="1" applyBorder="1" applyAlignment="1" applyProtection="1">
      <alignment horizontal="center"/>
    </xf>
    <xf numFmtId="0" fontId="1" fillId="2" borderId="10" xfId="21" applyFill="1" applyBorder="1" applyAlignment="1" applyProtection="1">
      <alignment horizontal="center"/>
    </xf>
    <xf numFmtId="0" fontId="1" fillId="2" borderId="9" xfId="21" applyFill="1" applyBorder="1" applyAlignment="1" applyProtection="1">
      <alignment horizontal="center"/>
    </xf>
    <xf numFmtId="2" fontId="151" fillId="2" borderId="56" xfId="21" applyNumberFormat="1" applyFont="1" applyFill="1" applyBorder="1" applyAlignment="1" applyProtection="1">
      <alignment vertical="center"/>
    </xf>
    <xf numFmtId="0" fontId="1" fillId="2" borderId="56" xfId="21" applyFill="1" applyBorder="1" applyAlignment="1" applyProtection="1">
      <alignment horizontal="center"/>
    </xf>
    <xf numFmtId="2" fontId="1" fillId="2" borderId="56" xfId="21" applyNumberFormat="1" applyFill="1" applyBorder="1" applyAlignment="1" applyProtection="1">
      <alignment horizontal="center"/>
    </xf>
    <xf numFmtId="1" fontId="1" fillId="2" borderId="56" xfId="21" applyNumberFormat="1" applyFill="1" applyBorder="1" applyProtection="1">
      <protection locked="0"/>
    </xf>
    <xf numFmtId="1" fontId="1" fillId="2" borderId="11" xfId="21" applyNumberFormat="1" applyFill="1" applyBorder="1" applyAlignment="1" applyProtection="1">
      <alignment horizontal="center"/>
    </xf>
    <xf numFmtId="0" fontId="144" fillId="27" borderId="0" xfId="21" applyFont="1" applyFill="1" applyBorder="1" applyAlignment="1" applyProtection="1">
      <alignment horizontal="center"/>
    </xf>
    <xf numFmtId="0" fontId="43" fillId="25" borderId="232" xfId="21" applyFont="1" applyFill="1" applyBorder="1" applyAlignment="1" applyProtection="1">
      <alignment horizontal="center" vertical="center" wrapText="1"/>
    </xf>
    <xf numFmtId="0" fontId="43" fillId="25" borderId="230" xfId="21" applyFont="1" applyFill="1" applyBorder="1" applyAlignment="1" applyProtection="1">
      <alignment horizontal="center" vertical="center" wrapText="1"/>
    </xf>
    <xf numFmtId="0" fontId="43" fillId="25" borderId="231" xfId="21" applyFont="1" applyFill="1" applyBorder="1" applyAlignment="1" applyProtection="1">
      <alignment horizontal="center" vertical="center" wrapText="1"/>
    </xf>
    <xf numFmtId="0" fontId="43" fillId="25" borderId="15" xfId="21" applyFont="1" applyFill="1" applyBorder="1" applyAlignment="1" applyProtection="1">
      <alignment horizontal="center" vertical="center" wrapText="1"/>
    </xf>
    <xf numFmtId="0" fontId="43" fillId="25" borderId="220" xfId="21" applyFont="1" applyFill="1" applyBorder="1" applyAlignment="1" applyProtection="1">
      <alignment horizontal="center" vertical="center" wrapText="1"/>
    </xf>
    <xf numFmtId="0" fontId="43" fillId="25" borderId="14" xfId="21" applyFont="1" applyFill="1" applyBorder="1" applyAlignment="1" applyProtection="1">
      <alignment horizontal="center" vertical="center" wrapText="1"/>
    </xf>
    <xf numFmtId="0" fontId="43" fillId="25" borderId="232" xfId="21" applyFont="1" applyFill="1" applyBorder="1" applyAlignment="1" applyProtection="1">
      <alignment horizontal="center" vertical="center"/>
    </xf>
    <xf numFmtId="0" fontId="43" fillId="25" borderId="230" xfId="21" applyFont="1" applyFill="1" applyBorder="1" applyAlignment="1" applyProtection="1">
      <alignment horizontal="center" vertical="center"/>
    </xf>
    <xf numFmtId="0" fontId="43" fillId="25" borderId="231" xfId="21" applyFont="1" applyFill="1" applyBorder="1" applyAlignment="1" applyProtection="1">
      <alignment horizontal="center" vertical="center"/>
    </xf>
    <xf numFmtId="0" fontId="43" fillId="25" borderId="15" xfId="21" applyFont="1" applyFill="1" applyBorder="1" applyAlignment="1" applyProtection="1">
      <alignment horizontal="center" vertical="center"/>
    </xf>
    <xf numFmtId="0" fontId="43" fillId="25" borderId="220" xfId="21" applyFont="1" applyFill="1" applyBorder="1" applyAlignment="1" applyProtection="1">
      <alignment horizontal="center" vertical="center"/>
    </xf>
    <xf numFmtId="0" fontId="43" fillId="25" borderId="14" xfId="21" applyFont="1" applyFill="1" applyBorder="1" applyAlignment="1" applyProtection="1">
      <alignment horizontal="center" vertical="center"/>
    </xf>
    <xf numFmtId="0" fontId="43" fillId="2" borderId="232" xfId="21" applyFont="1" applyFill="1" applyBorder="1" applyAlignment="1" applyProtection="1">
      <alignment horizontal="center" vertical="center"/>
      <protection locked="0"/>
    </xf>
    <xf numFmtId="0" fontId="43" fillId="2" borderId="230" xfId="21" applyFont="1" applyFill="1" applyBorder="1" applyAlignment="1" applyProtection="1">
      <alignment horizontal="center" vertical="center"/>
      <protection locked="0"/>
    </xf>
    <xf numFmtId="0" fontId="43" fillId="2" borderId="231" xfId="21" applyFont="1" applyFill="1" applyBorder="1" applyAlignment="1" applyProtection="1">
      <alignment horizontal="center" vertical="center"/>
      <protection locked="0"/>
    </xf>
    <xf numFmtId="0" fontId="43" fillId="2" borderId="15" xfId="21" applyFont="1" applyFill="1" applyBorder="1" applyAlignment="1" applyProtection="1">
      <alignment horizontal="center" vertical="center"/>
      <protection locked="0"/>
    </xf>
    <xf numFmtId="0" fontId="43" fillId="2" borderId="220" xfId="21" applyFont="1" applyFill="1" applyBorder="1" applyAlignment="1" applyProtection="1">
      <alignment horizontal="center" vertical="center"/>
      <protection locked="0"/>
    </xf>
    <xf numFmtId="0" fontId="43" fillId="2" borderId="14" xfId="21" applyFont="1" applyFill="1" applyBorder="1" applyAlignment="1" applyProtection="1">
      <alignment horizontal="center" vertical="center"/>
      <protection locked="0"/>
    </xf>
    <xf numFmtId="0" fontId="43" fillId="25" borderId="56" xfId="21" applyFont="1" applyFill="1" applyBorder="1" applyAlignment="1" applyProtection="1">
      <alignment horizontal="center" vertical="center" wrapText="1"/>
    </xf>
    <xf numFmtId="0" fontId="47" fillId="0" borderId="233" xfId="69" applyFont="1" applyBorder="1" applyAlignment="1" applyProtection="1">
      <alignment horizontal="center" vertical="center" wrapText="1"/>
    </xf>
    <xf numFmtId="12" fontId="102" fillId="26" borderId="149" xfId="71" applyNumberFormat="1" applyFont="1" applyFill="1" applyBorder="1" applyAlignment="1" applyProtection="1">
      <alignment horizontal="center" vertical="center" wrapText="1"/>
    </xf>
    <xf numFmtId="12" fontId="102" fillId="26" borderId="0" xfId="71" applyNumberFormat="1" applyFont="1" applyFill="1" applyBorder="1" applyAlignment="1" applyProtection="1">
      <alignment horizontal="center" vertical="center" wrapText="1"/>
    </xf>
    <xf numFmtId="0" fontId="4" fillId="2" borderId="11" xfId="21" applyFont="1" applyFill="1" applyBorder="1" applyAlignment="1" applyProtection="1">
      <alignment horizontal="left" vertical="center"/>
    </xf>
    <xf numFmtId="0" fontId="4" fillId="2" borderId="10" xfId="21" applyFont="1" applyFill="1" applyBorder="1" applyAlignment="1" applyProtection="1">
      <alignment horizontal="left" vertical="center"/>
    </xf>
    <xf numFmtId="0" fontId="0" fillId="0" borderId="10" xfId="0" applyBorder="1" applyAlignment="1" applyProtection="1">
      <alignment horizontal="center"/>
      <protection locked="0"/>
    </xf>
    <xf numFmtId="0" fontId="0" fillId="0" borderId="9" xfId="0" applyBorder="1" applyAlignment="1" applyProtection="1">
      <alignment horizontal="center"/>
      <protection locked="0"/>
    </xf>
    <xf numFmtId="167" fontId="4" fillId="2" borderId="10" xfId="21" applyNumberFormat="1" applyFont="1" applyFill="1" applyBorder="1" applyAlignment="1" applyProtection="1">
      <alignment horizontal="center" vertical="center"/>
      <protection locked="0"/>
    </xf>
    <xf numFmtId="167" fontId="4" fillId="2" borderId="9" xfId="21" applyNumberFormat="1" applyFont="1" applyFill="1" applyBorder="1" applyAlignment="1" applyProtection="1">
      <alignment horizontal="center" vertical="center"/>
      <protection locked="0"/>
    </xf>
    <xf numFmtId="0" fontId="0" fillId="2" borderId="62" xfId="0" applyFill="1" applyBorder="1" applyAlignment="1" applyProtection="1">
      <alignment horizontal="center"/>
      <protection locked="0"/>
    </xf>
    <xf numFmtId="0" fontId="0" fillId="2" borderId="62" xfId="0" applyFill="1" applyBorder="1" applyAlignment="1" applyProtection="1">
      <alignment horizontal="center" wrapText="1"/>
      <protection locked="0"/>
    </xf>
    <xf numFmtId="0" fontId="1" fillId="2" borderId="62" xfId="0" applyFont="1" applyFill="1" applyBorder="1" applyAlignment="1" applyProtection="1">
      <alignment horizontal="center"/>
      <protection locked="0"/>
    </xf>
    <xf numFmtId="0" fontId="47" fillId="0" borderId="0" xfId="70" applyFont="1" applyFill="1" applyBorder="1" applyAlignment="1" applyProtection="1">
      <alignment horizontal="center" wrapText="1"/>
    </xf>
    <xf numFmtId="172" fontId="102" fillId="26" borderId="149" xfId="71" applyNumberFormat="1" applyFont="1" applyFill="1" applyBorder="1" applyAlignment="1" applyProtection="1">
      <alignment horizontal="center" vertical="center" wrapText="1"/>
    </xf>
    <xf numFmtId="172" fontId="102" fillId="26" borderId="0" xfId="71" applyNumberFormat="1" applyFont="1" applyFill="1" applyBorder="1" applyAlignment="1" applyProtection="1">
      <alignment horizontal="center" vertical="center" wrapText="1"/>
    </xf>
    <xf numFmtId="0" fontId="154" fillId="25" borderId="199" xfId="68" applyFont="1" applyFill="1" applyBorder="1" applyAlignment="1" applyProtection="1">
      <alignment horizontal="center" vertical="center"/>
    </xf>
    <xf numFmtId="167" fontId="4" fillId="2" borderId="0" xfId="21" applyNumberFormat="1" applyFont="1" applyFill="1" applyBorder="1" applyAlignment="1" applyProtection="1">
      <alignment horizontal="center" vertical="center"/>
      <protection locked="0"/>
    </xf>
    <xf numFmtId="1" fontId="12" fillId="2" borderId="220" xfId="21" applyNumberFormat="1" applyFont="1" applyFill="1" applyBorder="1" applyAlignment="1" applyProtection="1">
      <alignment horizontal="center" vertical="center"/>
      <protection locked="0"/>
    </xf>
    <xf numFmtId="0" fontId="126" fillId="26" borderId="15" xfId="71" applyFont="1" applyFill="1" applyBorder="1" applyAlignment="1" applyProtection="1">
      <alignment horizontal="center" vertical="center"/>
    </xf>
    <xf numFmtId="0" fontId="126" fillId="26" borderId="220" xfId="71" applyFont="1" applyFill="1" applyBorder="1" applyAlignment="1" applyProtection="1">
      <alignment horizontal="center" vertical="center"/>
    </xf>
    <xf numFmtId="0" fontId="126" fillId="26" borderId="220" xfId="71" applyFont="1" applyFill="1" applyBorder="1" applyAlignment="1" applyProtection="1">
      <alignment horizontal="center"/>
    </xf>
    <xf numFmtId="0" fontId="126" fillId="0" borderId="220" xfId="71" applyFont="1" applyBorder="1" applyAlignment="1" applyProtection="1">
      <alignment horizontal="center"/>
      <protection locked="0"/>
    </xf>
    <xf numFmtId="0" fontId="126" fillId="0" borderId="14" xfId="71" applyFont="1" applyBorder="1" applyAlignment="1" applyProtection="1">
      <alignment horizontal="center"/>
      <protection locked="0"/>
    </xf>
    <xf numFmtId="0" fontId="102" fillId="2" borderId="15" xfId="21" applyNumberFormat="1" applyFont="1" applyFill="1" applyBorder="1" applyAlignment="1" applyProtection="1">
      <alignment horizontal="center" vertical="center"/>
    </xf>
    <xf numFmtId="0" fontId="102" fillId="2" borderId="220" xfId="21" applyNumberFormat="1" applyFont="1" applyFill="1" applyBorder="1" applyAlignment="1" applyProtection="1">
      <alignment horizontal="center" vertical="center"/>
    </xf>
    <xf numFmtId="0" fontId="102" fillId="2" borderId="14" xfId="21" applyNumberFormat="1" applyFont="1" applyFill="1" applyBorder="1" applyAlignment="1" applyProtection="1">
      <alignment horizontal="center" vertical="center"/>
    </xf>
    <xf numFmtId="2" fontId="4" fillId="2" borderId="19" xfId="21" applyNumberFormat="1" applyFont="1" applyFill="1" applyBorder="1" applyAlignment="1" applyProtection="1">
      <alignment horizontal="center" vertical="center"/>
      <protection locked="0"/>
    </xf>
    <xf numFmtId="2" fontId="4" fillId="2" borderId="0" xfId="21" applyNumberFormat="1" applyFont="1" applyFill="1" applyBorder="1" applyAlignment="1" applyProtection="1">
      <alignment horizontal="center" vertical="center"/>
      <protection locked="0"/>
    </xf>
    <xf numFmtId="1" fontId="4" fillId="2" borderId="0" xfId="21" applyNumberFormat="1" applyFont="1" applyFill="1" applyBorder="1" applyAlignment="1" applyProtection="1">
      <alignment horizontal="center" vertical="center"/>
      <protection locked="0"/>
    </xf>
    <xf numFmtId="167" fontId="2" fillId="2" borderId="0" xfId="21" applyNumberFormat="1" applyFont="1" applyFill="1" applyBorder="1" applyAlignment="1" applyProtection="1">
      <alignment horizontal="center" vertical="center"/>
      <protection locked="0"/>
    </xf>
    <xf numFmtId="0" fontId="102" fillId="2" borderId="0" xfId="21" applyNumberFormat="1" applyFont="1" applyFill="1" applyBorder="1" applyAlignment="1" applyProtection="1">
      <alignment horizontal="center" vertical="center"/>
    </xf>
    <xf numFmtId="0" fontId="102" fillId="2" borderId="18" xfId="21" applyNumberFormat="1" applyFont="1" applyFill="1" applyBorder="1" applyAlignment="1" applyProtection="1">
      <alignment horizontal="center" vertical="center"/>
    </xf>
    <xf numFmtId="0" fontId="102" fillId="2" borderId="19" xfId="21" applyNumberFormat="1" applyFont="1" applyFill="1" applyBorder="1" applyAlignment="1" applyProtection="1">
      <alignment horizontal="center" vertical="center"/>
    </xf>
    <xf numFmtId="2" fontId="145" fillId="2" borderId="15" xfId="21" applyNumberFormat="1" applyFont="1" applyFill="1" applyBorder="1" applyAlignment="1" applyProtection="1">
      <alignment horizontal="center" vertical="center"/>
    </xf>
    <xf numFmtId="2" fontId="145" fillId="2" borderId="220" xfId="21" applyNumberFormat="1" applyFont="1" applyFill="1" applyBorder="1" applyAlignment="1" applyProtection="1">
      <alignment horizontal="center" vertical="center"/>
    </xf>
    <xf numFmtId="1" fontId="102" fillId="2" borderId="220" xfId="21" applyNumberFormat="1" applyFont="1" applyFill="1" applyBorder="1" applyAlignment="1" applyProtection="1">
      <alignment horizontal="center" vertical="center"/>
    </xf>
    <xf numFmtId="1" fontId="102" fillId="2" borderId="14" xfId="21" applyNumberFormat="1" applyFont="1" applyFill="1" applyBorder="1" applyAlignment="1" applyProtection="1">
      <alignment horizontal="center" vertical="center"/>
    </xf>
    <xf numFmtId="167" fontId="102" fillId="2" borderId="15" xfId="21" applyNumberFormat="1" applyFont="1" applyFill="1" applyBorder="1" applyAlignment="1" applyProtection="1">
      <alignment horizontal="center" vertical="center"/>
    </xf>
    <xf numFmtId="167" fontId="102" fillId="2" borderId="220" xfId="21" applyNumberFormat="1" applyFont="1" applyFill="1" applyBorder="1" applyAlignment="1" applyProtection="1">
      <alignment horizontal="center" vertical="center"/>
    </xf>
    <xf numFmtId="167" fontId="102" fillId="2" borderId="14" xfId="21" applyNumberFormat="1" applyFont="1" applyFill="1" applyBorder="1" applyAlignment="1" applyProtection="1">
      <alignment horizontal="center" vertical="center"/>
    </xf>
    <xf numFmtId="167" fontId="126" fillId="2" borderId="220" xfId="21" applyNumberFormat="1" applyFont="1" applyFill="1" applyBorder="1" applyAlignment="1" applyProtection="1">
      <alignment horizontal="center" vertical="center"/>
    </xf>
    <xf numFmtId="167" fontId="2" fillId="2" borderId="15" xfId="21" applyNumberFormat="1" applyFont="1" applyFill="1" applyBorder="1" applyAlignment="1" applyProtection="1">
      <alignment horizontal="center" vertical="center"/>
    </xf>
    <xf numFmtId="167" fontId="2" fillId="2" borderId="220" xfId="21" applyNumberFormat="1" applyFont="1" applyFill="1" applyBorder="1" applyAlignment="1" applyProtection="1">
      <alignment horizontal="center" vertical="center"/>
    </xf>
    <xf numFmtId="167" fontId="2" fillId="2" borderId="14" xfId="21" applyNumberFormat="1" applyFont="1" applyFill="1" applyBorder="1" applyAlignment="1" applyProtection="1">
      <alignment horizontal="center" vertical="center"/>
    </xf>
    <xf numFmtId="1" fontId="2" fillId="2" borderId="19" xfId="21" applyNumberFormat="1" applyFont="1" applyFill="1" applyBorder="1" applyAlignment="1" applyProtection="1">
      <alignment horizontal="center" vertical="center"/>
    </xf>
    <xf numFmtId="1" fontId="2" fillId="2" borderId="0" xfId="21" applyNumberFormat="1" applyFont="1" applyFill="1" applyBorder="1" applyAlignment="1" applyProtection="1">
      <alignment horizontal="center" vertical="center"/>
    </xf>
    <xf numFmtId="1" fontId="2" fillId="2" borderId="18" xfId="21" applyNumberFormat="1" applyFont="1" applyFill="1" applyBorder="1" applyAlignment="1" applyProtection="1">
      <alignment horizontal="center" vertical="center"/>
    </xf>
    <xf numFmtId="2" fontId="145" fillId="2" borderId="19" xfId="21" applyNumberFormat="1" applyFont="1" applyFill="1" applyBorder="1" applyAlignment="1" applyProtection="1">
      <alignment horizontal="center" vertical="center"/>
    </xf>
    <xf numFmtId="2" fontId="145" fillId="2" borderId="0" xfId="21" applyNumberFormat="1" applyFont="1" applyFill="1" applyBorder="1" applyAlignment="1" applyProtection="1">
      <alignment horizontal="center" vertical="center"/>
    </xf>
    <xf numFmtId="1" fontId="102" fillId="2" borderId="0" xfId="21" applyNumberFormat="1" applyFont="1" applyFill="1" applyBorder="1" applyAlignment="1" applyProtection="1">
      <alignment horizontal="center" vertical="center"/>
    </xf>
    <xf numFmtId="1" fontId="102" fillId="2" borderId="18" xfId="21" applyNumberFormat="1" applyFont="1" applyFill="1" applyBorder="1" applyAlignment="1" applyProtection="1">
      <alignment horizontal="center" vertical="center"/>
    </xf>
    <xf numFmtId="167" fontId="102" fillId="2" borderId="19" xfId="21" applyNumberFormat="1" applyFont="1" applyFill="1" applyBorder="1" applyAlignment="1" applyProtection="1">
      <alignment horizontal="center" vertical="center"/>
    </xf>
    <xf numFmtId="167" fontId="102" fillId="2" borderId="0" xfId="21" applyNumberFormat="1" applyFont="1" applyFill="1" applyBorder="1" applyAlignment="1" applyProtection="1">
      <alignment horizontal="center" vertical="center"/>
    </xf>
    <xf numFmtId="167" fontId="102" fillId="2" borderId="18" xfId="21" applyNumberFormat="1" applyFont="1" applyFill="1" applyBorder="1" applyAlignment="1" applyProtection="1">
      <alignment horizontal="center" vertical="center"/>
    </xf>
    <xf numFmtId="1" fontId="126" fillId="2" borderId="0" xfId="21" applyNumberFormat="1" applyFont="1" applyFill="1" applyBorder="1" applyAlignment="1" applyProtection="1">
      <alignment horizontal="center" vertical="center"/>
    </xf>
    <xf numFmtId="1" fontId="2" fillId="2" borderId="232" xfId="21" applyNumberFormat="1" applyFont="1" applyFill="1" applyBorder="1" applyAlignment="1" applyProtection="1">
      <alignment horizontal="center" vertical="center"/>
    </xf>
    <xf numFmtId="1" fontId="2" fillId="2" borderId="230" xfId="21" applyNumberFormat="1" applyFont="1" applyFill="1" applyBorder="1" applyAlignment="1" applyProtection="1">
      <alignment horizontal="center" vertical="center"/>
    </xf>
    <xf numFmtId="1" fontId="2" fillId="2" borderId="231" xfId="21" applyNumberFormat="1" applyFont="1" applyFill="1" applyBorder="1" applyAlignment="1" applyProtection="1">
      <alignment horizontal="center" vertical="center"/>
    </xf>
    <xf numFmtId="0" fontId="102" fillId="2" borderId="230" xfId="21" applyNumberFormat="1" applyFont="1" applyFill="1" applyBorder="1" applyAlignment="1" applyProtection="1">
      <alignment horizontal="center" vertical="center"/>
    </xf>
    <xf numFmtId="0" fontId="102" fillId="2" borderId="232" xfId="21" applyNumberFormat="1" applyFont="1" applyFill="1" applyBorder="1" applyAlignment="1" applyProtection="1">
      <alignment horizontal="center" vertical="center"/>
    </xf>
    <xf numFmtId="0" fontId="102" fillId="2" borderId="231" xfId="21" applyNumberFormat="1" applyFont="1" applyFill="1" applyBorder="1" applyAlignment="1" applyProtection="1">
      <alignment horizontal="center" vertical="center"/>
    </xf>
    <xf numFmtId="2" fontId="145" fillId="2" borderId="232" xfId="21" applyNumberFormat="1" applyFont="1" applyFill="1" applyBorder="1" applyAlignment="1" applyProtection="1">
      <alignment horizontal="center" vertical="center"/>
    </xf>
    <xf numFmtId="2" fontId="145" fillId="2" borderId="230" xfId="21" applyNumberFormat="1" applyFont="1" applyFill="1" applyBorder="1" applyAlignment="1" applyProtection="1">
      <alignment horizontal="center" vertical="center"/>
    </xf>
    <xf numFmtId="167" fontId="102" fillId="2" borderId="232" xfId="21" applyNumberFormat="1" applyFont="1" applyFill="1" applyBorder="1" applyAlignment="1" applyProtection="1">
      <alignment horizontal="center" vertical="center"/>
    </xf>
    <xf numFmtId="167" fontId="102" fillId="2" borderId="230" xfId="21" applyNumberFormat="1" applyFont="1" applyFill="1" applyBorder="1" applyAlignment="1" applyProtection="1">
      <alignment horizontal="center" vertical="center"/>
    </xf>
    <xf numFmtId="167" fontId="102" fillId="2" borderId="231" xfId="21" applyNumberFormat="1" applyFont="1" applyFill="1" applyBorder="1" applyAlignment="1" applyProtection="1">
      <alignment horizontal="center" vertical="center"/>
    </xf>
    <xf numFmtId="1" fontId="126" fillId="2" borderId="230" xfId="21" applyNumberFormat="1" applyFont="1" applyFill="1" applyBorder="1" applyAlignment="1" applyProtection="1">
      <alignment horizontal="center" vertical="center"/>
    </xf>
    <xf numFmtId="0" fontId="105" fillId="0" borderId="10" xfId="0" applyFont="1" applyBorder="1" applyAlignment="1" applyProtection="1">
      <alignment horizontal="center"/>
    </xf>
    <xf numFmtId="0" fontId="105" fillId="0" borderId="9" xfId="0" applyFont="1" applyBorder="1" applyAlignment="1" applyProtection="1">
      <alignment horizontal="center"/>
    </xf>
    <xf numFmtId="167" fontId="4" fillId="2" borderId="10" xfId="21" applyNumberFormat="1" applyFont="1" applyFill="1" applyBorder="1" applyAlignment="1" applyProtection="1">
      <alignment horizontal="center" vertical="center"/>
    </xf>
    <xf numFmtId="167" fontId="4" fillId="2" borderId="9" xfId="21" applyNumberFormat="1" applyFont="1" applyFill="1" applyBorder="1" applyAlignment="1" applyProtection="1">
      <alignment horizontal="center" vertical="center"/>
    </xf>
    <xf numFmtId="0" fontId="142" fillId="2" borderId="11" xfId="21" applyFont="1" applyFill="1" applyBorder="1" applyAlignment="1" applyProtection="1">
      <alignment horizontal="center" vertical="center"/>
    </xf>
    <xf numFmtId="0" fontId="142" fillId="2" borderId="10" xfId="21" applyFont="1" applyFill="1" applyBorder="1" applyAlignment="1" applyProtection="1">
      <alignment horizontal="center" vertical="center"/>
    </xf>
    <xf numFmtId="0" fontId="142" fillId="2" borderId="230" xfId="21" applyFont="1" applyFill="1" applyBorder="1" applyAlignment="1" applyProtection="1">
      <alignment horizontal="center" vertical="center"/>
    </xf>
    <xf numFmtId="0" fontId="142" fillId="2" borderId="9" xfId="21" applyFont="1" applyFill="1" applyBorder="1" applyAlignment="1" applyProtection="1">
      <alignment horizontal="center" vertical="center"/>
    </xf>
    <xf numFmtId="0" fontId="43" fillId="25" borderId="160" xfId="21" applyFont="1" applyFill="1" applyBorder="1" applyAlignment="1" applyProtection="1">
      <alignment horizontal="center" vertical="center" wrapText="1"/>
    </xf>
    <xf numFmtId="0" fontId="43" fillId="25" borderId="153" xfId="21" applyFont="1" applyFill="1" applyBorder="1" applyAlignment="1" applyProtection="1">
      <alignment horizontal="center" vertical="center" wrapText="1"/>
    </xf>
    <xf numFmtId="0" fontId="43" fillId="25" borderId="154" xfId="21" applyFont="1" applyFill="1" applyBorder="1" applyAlignment="1" applyProtection="1">
      <alignment horizontal="center" vertical="center" wrapText="1"/>
    </xf>
    <xf numFmtId="0" fontId="43" fillId="25" borderId="127" xfId="21" applyFont="1" applyFill="1" applyBorder="1" applyAlignment="1" applyProtection="1">
      <alignment horizontal="center" vertical="center"/>
    </xf>
    <xf numFmtId="0" fontId="43" fillId="25" borderId="126" xfId="21" applyFont="1" applyFill="1" applyBorder="1" applyAlignment="1" applyProtection="1">
      <alignment horizontal="center" vertical="center"/>
    </xf>
    <xf numFmtId="0" fontId="43" fillId="25" borderId="128" xfId="21" applyFont="1" applyFill="1" applyBorder="1" applyAlignment="1" applyProtection="1">
      <alignment horizontal="center" vertical="center"/>
    </xf>
    <xf numFmtId="0" fontId="43" fillId="25" borderId="33" xfId="21" applyFont="1" applyFill="1" applyBorder="1" applyAlignment="1" applyProtection="1">
      <alignment horizontal="center" vertical="center" wrapText="1"/>
    </xf>
    <xf numFmtId="0" fontId="43" fillId="25" borderId="34" xfId="21" applyFont="1" applyFill="1" applyBorder="1" applyAlignment="1" applyProtection="1">
      <alignment horizontal="center" vertical="center" wrapText="1"/>
    </xf>
    <xf numFmtId="0" fontId="43" fillId="25" borderId="35" xfId="21" applyFont="1" applyFill="1" applyBorder="1" applyAlignment="1" applyProtection="1">
      <alignment horizontal="center" vertical="center" wrapText="1"/>
    </xf>
    <xf numFmtId="0" fontId="43" fillId="25" borderId="29" xfId="21" applyFont="1" applyFill="1" applyBorder="1" applyAlignment="1" applyProtection="1">
      <alignment horizontal="center" vertical="center" wrapText="1"/>
    </xf>
    <xf numFmtId="0" fontId="43" fillId="25" borderId="34" xfId="21" applyFont="1" applyFill="1" applyBorder="1" applyAlignment="1" applyProtection="1">
      <alignment horizontal="center" vertical="center"/>
    </xf>
    <xf numFmtId="0" fontId="43" fillId="25" borderId="107" xfId="21" applyFont="1" applyFill="1" applyBorder="1" applyAlignment="1" applyProtection="1">
      <alignment horizontal="center" vertical="center"/>
    </xf>
    <xf numFmtId="0" fontId="43" fillId="25" borderId="144" xfId="21" applyFont="1" applyFill="1" applyBorder="1" applyAlignment="1" applyProtection="1">
      <alignment horizontal="center" vertical="center"/>
    </xf>
    <xf numFmtId="0" fontId="43" fillId="25" borderId="145" xfId="21" applyFont="1" applyFill="1" applyBorder="1" applyAlignment="1" applyProtection="1">
      <alignment horizontal="center" vertical="center"/>
    </xf>
    <xf numFmtId="0" fontId="43" fillId="25" borderId="146" xfId="21" applyFont="1" applyFill="1" applyBorder="1" applyAlignment="1" applyProtection="1">
      <alignment horizontal="center" vertical="center"/>
    </xf>
    <xf numFmtId="0" fontId="43" fillId="25" borderId="19" xfId="21" applyFont="1" applyFill="1" applyBorder="1" applyAlignment="1" applyProtection="1">
      <alignment horizontal="center" vertical="center" wrapText="1"/>
    </xf>
    <xf numFmtId="0" fontId="43" fillId="25" borderId="0" xfId="21" applyFont="1" applyFill="1" applyBorder="1" applyAlignment="1" applyProtection="1">
      <alignment horizontal="center" vertical="center" wrapText="1"/>
    </xf>
    <xf numFmtId="0" fontId="43" fillId="25" borderId="37" xfId="21" applyFont="1" applyFill="1" applyBorder="1" applyAlignment="1" applyProtection="1">
      <alignment horizontal="center" vertical="center" wrapText="1"/>
    </xf>
    <xf numFmtId="0" fontId="43" fillId="25" borderId="38" xfId="21" applyFont="1" applyFill="1" applyBorder="1" applyAlignment="1" applyProtection="1">
      <alignment horizontal="center" vertical="center" wrapText="1"/>
    </xf>
    <xf numFmtId="0" fontId="43" fillId="25" borderId="39" xfId="21" applyFont="1" applyFill="1" applyBorder="1" applyAlignment="1" applyProtection="1">
      <alignment horizontal="center" vertical="center" wrapText="1"/>
    </xf>
    <xf numFmtId="0" fontId="43" fillId="25" borderId="122" xfId="21" applyFont="1" applyFill="1" applyBorder="1" applyAlignment="1" applyProtection="1">
      <alignment horizontal="center" vertical="center" wrapText="1"/>
    </xf>
    <xf numFmtId="1" fontId="12" fillId="2" borderId="10" xfId="21" applyNumberFormat="1" applyFont="1" applyFill="1" applyBorder="1" applyAlignment="1" applyProtection="1">
      <alignment horizontal="center" vertical="center"/>
    </xf>
    <xf numFmtId="1" fontId="12" fillId="2" borderId="230" xfId="21" applyNumberFormat="1" applyFont="1" applyFill="1" applyBorder="1" applyAlignment="1" applyProtection="1">
      <alignment horizontal="center" vertical="center"/>
    </xf>
    <xf numFmtId="1" fontId="12" fillId="2" borderId="9" xfId="21" applyNumberFormat="1" applyFont="1" applyFill="1" applyBorder="1" applyAlignment="1" applyProtection="1">
      <alignment horizontal="center" vertical="center"/>
    </xf>
    <xf numFmtId="0" fontId="16" fillId="2" borderId="11" xfId="21" applyFont="1" applyFill="1" applyBorder="1" applyAlignment="1" applyProtection="1">
      <alignment horizontal="center" vertical="center"/>
    </xf>
    <xf numFmtId="0" fontId="2" fillId="2" borderId="10" xfId="21" applyFont="1" applyFill="1" applyBorder="1" applyAlignment="1" applyProtection="1">
      <alignment horizontal="center" vertical="center"/>
    </xf>
    <xf numFmtId="0" fontId="13" fillId="0" borderId="56" xfId="21" applyFont="1" applyBorder="1" applyAlignment="1" applyProtection="1">
      <alignment horizontal="center" vertical="center"/>
      <protection locked="0"/>
    </xf>
    <xf numFmtId="0" fontId="7" fillId="0" borderId="232" xfId="0" applyFont="1" applyFill="1" applyBorder="1" applyAlignment="1" applyProtection="1">
      <alignment horizontal="center"/>
    </xf>
    <xf numFmtId="0" fontId="7" fillId="0" borderId="230" xfId="0" applyFont="1" applyFill="1" applyBorder="1" applyAlignment="1" applyProtection="1">
      <alignment horizontal="center"/>
    </xf>
    <xf numFmtId="0" fontId="7" fillId="0" borderId="231" xfId="0" applyFont="1" applyFill="1" applyBorder="1" applyAlignment="1" applyProtection="1">
      <alignment horizontal="center"/>
    </xf>
    <xf numFmtId="0" fontId="7" fillId="0" borderId="19" xfId="0" applyFont="1" applyFill="1" applyBorder="1" applyAlignment="1" applyProtection="1">
      <alignment horizontal="center"/>
    </xf>
    <xf numFmtId="0" fontId="7" fillId="0" borderId="0" xfId="0" applyFont="1" applyFill="1" applyBorder="1" applyAlignment="1" applyProtection="1">
      <alignment horizontal="center"/>
    </xf>
    <xf numFmtId="0" fontId="7" fillId="0" borderId="18" xfId="0" applyFont="1" applyFill="1" applyBorder="1" applyAlignment="1" applyProtection="1">
      <alignment horizontal="center"/>
    </xf>
    <xf numFmtId="0" fontId="7" fillId="0" borderId="15" xfId="0" applyFont="1" applyFill="1" applyBorder="1" applyAlignment="1" applyProtection="1">
      <alignment horizontal="center"/>
    </xf>
    <xf numFmtId="0" fontId="7" fillId="0" borderId="220" xfId="0" applyFont="1" applyFill="1" applyBorder="1" applyAlignment="1" applyProtection="1">
      <alignment horizontal="center"/>
    </xf>
    <xf numFmtId="0" fontId="7" fillId="0" borderId="14" xfId="0" applyFont="1" applyFill="1" applyBorder="1" applyAlignment="1" applyProtection="1">
      <alignment horizontal="center"/>
    </xf>
    <xf numFmtId="0" fontId="153" fillId="26" borderId="166" xfId="0" applyFont="1" applyFill="1" applyBorder="1" applyAlignment="1" applyProtection="1">
      <alignment horizontal="left" vertical="center" wrapText="1"/>
    </xf>
    <xf numFmtId="0" fontId="153" fillId="26" borderId="41" xfId="0" applyFont="1" applyFill="1" applyBorder="1" applyAlignment="1" applyProtection="1">
      <alignment horizontal="left" vertical="center" wrapText="1"/>
    </xf>
    <xf numFmtId="0" fontId="153" fillId="26" borderId="42" xfId="0" applyFont="1" applyFill="1" applyBorder="1" applyAlignment="1" applyProtection="1">
      <alignment horizontal="left" vertical="center" wrapText="1"/>
    </xf>
    <xf numFmtId="0" fontId="153" fillId="2" borderId="31" xfId="0" applyFont="1" applyFill="1" applyBorder="1" applyAlignment="1" applyProtection="1">
      <alignment horizontal="left" vertical="center" wrapText="1"/>
    </xf>
    <xf numFmtId="0" fontId="153" fillId="2" borderId="41" xfId="0" applyFont="1" applyFill="1" applyBorder="1" applyAlignment="1" applyProtection="1">
      <alignment horizontal="left" vertical="center" wrapText="1"/>
    </xf>
    <xf numFmtId="0" fontId="153" fillId="2" borderId="169" xfId="0" applyFont="1" applyFill="1" applyBorder="1" applyAlignment="1" applyProtection="1">
      <alignment horizontal="left" vertical="center" wrapText="1"/>
    </xf>
    <xf numFmtId="0" fontId="153" fillId="2" borderId="166" xfId="21" applyFont="1" applyFill="1" applyBorder="1" applyAlignment="1" applyProtection="1">
      <alignment horizontal="left" vertical="center"/>
    </xf>
    <xf numFmtId="0" fontId="153" fillId="2" borderId="41" xfId="21" applyFont="1" applyFill="1" applyBorder="1" applyAlignment="1" applyProtection="1">
      <alignment horizontal="left" vertical="center"/>
    </xf>
    <xf numFmtId="0" fontId="153" fillId="2" borderId="169" xfId="21" applyFont="1" applyFill="1" applyBorder="1" applyAlignment="1" applyProtection="1">
      <alignment horizontal="left" vertical="center"/>
    </xf>
    <xf numFmtId="0" fontId="5" fillId="26" borderId="113" xfId="0" applyFont="1" applyFill="1" applyBorder="1" applyAlignment="1" applyProtection="1">
      <alignment horizontal="left" vertical="center"/>
    </xf>
    <xf numFmtId="0" fontId="5" fillId="26" borderId="112" xfId="0" applyFont="1" applyFill="1" applyBorder="1" applyAlignment="1" applyProtection="1">
      <alignment horizontal="left" vertical="center"/>
    </xf>
    <xf numFmtId="0" fontId="5" fillId="26" borderId="112" xfId="0" applyFont="1" applyFill="1" applyBorder="1" applyAlignment="1" applyProtection="1">
      <alignment horizontal="center" vertical="center"/>
    </xf>
    <xf numFmtId="0" fontId="5" fillId="26" borderId="112" xfId="0" applyFont="1" applyFill="1" applyBorder="1" applyAlignment="1" applyProtection="1">
      <alignment horizontal="center" vertical="center"/>
      <protection locked="0"/>
    </xf>
    <xf numFmtId="0" fontId="5" fillId="26" borderId="170" xfId="0" applyFont="1" applyFill="1" applyBorder="1" applyAlignment="1" applyProtection="1">
      <alignment horizontal="center" vertical="center"/>
      <protection locked="0"/>
    </xf>
    <xf numFmtId="0" fontId="1" fillId="0" borderId="0" xfId="21" applyFont="1" applyFill="1" applyBorder="1" applyAlignment="1" applyProtection="1">
      <alignment horizontal="center"/>
      <protection locked="0"/>
    </xf>
    <xf numFmtId="0" fontId="51" fillId="2" borderId="0" xfId="21" applyFont="1" applyFill="1" applyAlignment="1" applyProtection="1">
      <alignment horizontal="right"/>
      <protection locked="0"/>
    </xf>
    <xf numFmtId="0" fontId="44" fillId="26" borderId="0" xfId="0" applyFont="1" applyFill="1" applyBorder="1" applyAlignment="1" applyProtection="1">
      <alignment horizontal="right" vertical="center"/>
    </xf>
    <xf numFmtId="0" fontId="3" fillId="2" borderId="232" xfId="0" applyFont="1" applyFill="1" applyBorder="1" applyAlignment="1" applyProtection="1">
      <alignment horizontal="center" vertical="center" wrapText="1"/>
    </xf>
    <xf numFmtId="0" fontId="3" fillId="2" borderId="230" xfId="0" applyFont="1" applyFill="1" applyBorder="1" applyAlignment="1" applyProtection="1">
      <alignment horizontal="center" vertical="center" wrapText="1"/>
    </xf>
    <xf numFmtId="0" fontId="3" fillId="2" borderId="231" xfId="0" applyFont="1" applyFill="1" applyBorder="1" applyAlignment="1" applyProtection="1">
      <alignment horizontal="center" vertical="center" wrapText="1"/>
    </xf>
    <xf numFmtId="0" fontId="3" fillId="2" borderId="19" xfId="0" applyFont="1" applyFill="1" applyBorder="1" applyAlignment="1" applyProtection="1">
      <alignment horizontal="center" vertical="center" wrapText="1"/>
    </xf>
    <xf numFmtId="0" fontId="3" fillId="2" borderId="0" xfId="0" applyFont="1" applyFill="1" applyBorder="1" applyAlignment="1" applyProtection="1">
      <alignment horizontal="center" vertical="center" wrapText="1"/>
    </xf>
    <xf numFmtId="0" fontId="3" fillId="2" borderId="18" xfId="0" applyFont="1" applyFill="1" applyBorder="1" applyAlignment="1" applyProtection="1">
      <alignment horizontal="center" vertical="center" wrapText="1"/>
    </xf>
    <xf numFmtId="0" fontId="3" fillId="2" borderId="121" xfId="0" applyFont="1" applyFill="1" applyBorder="1" applyAlignment="1" applyProtection="1">
      <alignment horizontal="center" vertical="center" wrapText="1"/>
    </xf>
    <xf numFmtId="0" fontId="3" fillId="2" borderId="39" xfId="0" applyFont="1" applyFill="1" applyBorder="1" applyAlignment="1" applyProtection="1">
      <alignment horizontal="center" vertical="center" wrapText="1"/>
    </xf>
    <xf numFmtId="0" fontId="3" fillId="2" borderId="122" xfId="0" applyFont="1" applyFill="1" applyBorder="1" applyAlignment="1" applyProtection="1">
      <alignment horizontal="center" vertical="center" wrapText="1"/>
    </xf>
    <xf numFmtId="0" fontId="102" fillId="0" borderId="157" xfId="208" applyFont="1" applyBorder="1" applyAlignment="1" applyProtection="1">
      <alignment horizontal="center" vertical="center" wrapText="1"/>
    </xf>
    <xf numFmtId="0" fontId="102" fillId="0" borderId="150" xfId="208" applyFont="1" applyBorder="1" applyAlignment="1" applyProtection="1">
      <alignment horizontal="center" vertical="center" wrapText="1"/>
    </xf>
    <xf numFmtId="0" fontId="102" fillId="0" borderId="221" xfId="208" applyFont="1" applyBorder="1" applyAlignment="1" applyProtection="1">
      <alignment horizontal="center" vertical="center" wrapText="1"/>
    </xf>
    <xf numFmtId="0" fontId="102" fillId="0" borderId="155" xfId="208" applyFont="1" applyBorder="1" applyAlignment="1" applyProtection="1">
      <alignment horizontal="center" vertical="center" wrapText="1"/>
    </xf>
    <xf numFmtId="0" fontId="102" fillId="0" borderId="156" xfId="208" applyFont="1" applyBorder="1" applyAlignment="1" applyProtection="1">
      <alignment horizontal="center" vertical="center" wrapText="1"/>
    </xf>
    <xf numFmtId="167" fontId="2" fillId="0" borderId="135" xfId="208" applyNumberFormat="1" applyFont="1" applyBorder="1" applyAlignment="1" applyProtection="1">
      <alignment horizontal="center" vertical="center" wrapText="1"/>
    </xf>
    <xf numFmtId="167" fontId="2" fillId="0" borderId="156" xfId="208" applyNumberFormat="1" applyFont="1" applyBorder="1" applyAlignment="1" applyProtection="1">
      <alignment horizontal="center" vertical="center" wrapText="1"/>
    </xf>
    <xf numFmtId="0" fontId="2" fillId="26" borderId="15" xfId="71" applyFont="1" applyFill="1" applyBorder="1" applyAlignment="1" applyProtection="1">
      <alignment horizontal="center" vertical="top" wrapText="1"/>
      <protection locked="0"/>
    </xf>
    <xf numFmtId="0" fontId="2" fillId="26" borderId="16" xfId="71" applyFont="1" applyFill="1" applyBorder="1" applyAlignment="1" applyProtection="1">
      <alignment horizontal="center" vertical="top" wrapText="1"/>
      <protection locked="0"/>
    </xf>
    <xf numFmtId="0" fontId="2" fillId="26" borderId="14" xfId="71" applyFont="1" applyFill="1" applyBorder="1" applyAlignment="1" applyProtection="1">
      <alignment horizontal="center" vertical="top" wrapText="1"/>
      <protection locked="0"/>
    </xf>
    <xf numFmtId="0" fontId="5" fillId="25" borderId="36" xfId="68" applyFont="1" applyFill="1" applyBorder="1" applyAlignment="1" applyProtection="1">
      <alignment horizontal="center" vertical="center"/>
    </xf>
    <xf numFmtId="0" fontId="5" fillId="25" borderId="37" xfId="68" applyFont="1" applyFill="1" applyBorder="1" applyAlignment="1" applyProtection="1">
      <alignment horizontal="center" vertical="center"/>
    </xf>
    <xf numFmtId="0" fontId="4" fillId="26" borderId="36" xfId="71" applyFont="1" applyFill="1" applyBorder="1" applyAlignment="1" applyProtection="1">
      <alignment horizontal="center" vertical="center"/>
    </xf>
    <xf numFmtId="0" fontId="4" fillId="26" borderId="0" xfId="71" applyFont="1" applyFill="1" applyBorder="1" applyAlignment="1" applyProtection="1">
      <alignment horizontal="center" vertical="center"/>
    </xf>
    <xf numFmtId="0" fontId="4" fillId="26" borderId="37" xfId="71" applyFont="1" applyFill="1" applyBorder="1" applyAlignment="1" applyProtection="1">
      <alignment horizontal="center" vertical="center"/>
    </xf>
    <xf numFmtId="0" fontId="102" fillId="0" borderId="137" xfId="208" applyFont="1" applyBorder="1" applyAlignment="1" applyProtection="1">
      <alignment horizontal="center" vertical="center" wrapText="1"/>
    </xf>
    <xf numFmtId="0" fontId="102" fillId="0" borderId="138" xfId="208" applyFont="1" applyBorder="1" applyAlignment="1" applyProtection="1">
      <alignment horizontal="center" vertical="center" wrapText="1"/>
    </xf>
    <xf numFmtId="0" fontId="102" fillId="0" borderId="148" xfId="208" applyFont="1" applyBorder="1" applyAlignment="1" applyProtection="1">
      <alignment horizontal="center" vertical="center" wrapText="1"/>
    </xf>
    <xf numFmtId="0" fontId="102" fillId="0" borderId="36" xfId="208" applyFont="1" applyBorder="1" applyAlignment="1" applyProtection="1">
      <alignment horizontal="center" vertical="center" wrapText="1"/>
      <protection locked="0"/>
    </xf>
    <xf numFmtId="0" fontId="102" fillId="0" borderId="0" xfId="208" applyFont="1" applyBorder="1" applyAlignment="1" applyProtection="1">
      <alignment horizontal="center" vertical="center" wrapText="1"/>
      <protection locked="0"/>
    </xf>
    <xf numFmtId="0" fontId="102" fillId="0" borderId="18" xfId="208" applyFont="1" applyBorder="1" applyAlignment="1" applyProtection="1">
      <alignment horizontal="center" vertical="center" wrapText="1"/>
      <protection locked="0"/>
    </xf>
    <xf numFmtId="0" fontId="106" fillId="0" borderId="72" xfId="208" applyFont="1" applyBorder="1" applyAlignment="1" applyProtection="1">
      <alignment horizontal="center" vertical="center" wrapText="1"/>
    </xf>
    <xf numFmtId="0" fontId="106" fillId="0" borderId="34" xfId="208" applyFont="1" applyBorder="1" applyAlignment="1" applyProtection="1">
      <alignment horizontal="center" vertical="center" wrapText="1"/>
    </xf>
    <xf numFmtId="0" fontId="106" fillId="0" borderId="121" xfId="208" applyFont="1" applyBorder="1" applyAlignment="1" applyProtection="1">
      <alignment horizontal="center" vertical="center" wrapText="1"/>
    </xf>
    <xf numFmtId="0" fontId="106" fillId="0" borderId="39" xfId="208" applyFont="1" applyBorder="1" applyAlignment="1" applyProtection="1">
      <alignment horizontal="center" vertical="center" wrapText="1"/>
    </xf>
    <xf numFmtId="0" fontId="102" fillId="0" borderId="33" xfId="208" applyFont="1" applyBorder="1" applyAlignment="1" applyProtection="1">
      <alignment horizontal="center" vertical="center" wrapText="1"/>
    </xf>
    <xf numFmtId="0" fontId="102" fillId="0" borderId="34" xfId="208" applyFont="1" applyBorder="1" applyAlignment="1" applyProtection="1">
      <alignment horizontal="center" vertical="center" wrapText="1"/>
    </xf>
    <xf numFmtId="1" fontId="43" fillId="0" borderId="31" xfId="208" applyNumberFormat="1" applyFont="1" applyBorder="1" applyAlignment="1" applyProtection="1">
      <alignment horizontal="center" vertical="center" wrapText="1"/>
      <protection locked="0"/>
    </xf>
    <xf numFmtId="1" fontId="43" fillId="0" borderId="41" xfId="208" applyNumberFormat="1" applyFont="1" applyBorder="1" applyAlignment="1" applyProtection="1">
      <alignment horizontal="center" vertical="center" wrapText="1"/>
      <protection locked="0"/>
    </xf>
    <xf numFmtId="167" fontId="2" fillId="36" borderId="31" xfId="208" applyNumberFormat="1" applyFont="1" applyFill="1" applyBorder="1" applyAlignment="1" applyProtection="1">
      <alignment horizontal="center" vertical="center" wrapText="1"/>
    </xf>
    <xf numFmtId="167" fontId="2" fillId="36" borderId="41" xfId="208" applyNumberFormat="1" applyFont="1" applyFill="1" applyBorder="1" applyAlignment="1" applyProtection="1">
      <alignment horizontal="center" vertical="center" wrapText="1"/>
    </xf>
    <xf numFmtId="167" fontId="2" fillId="36" borderId="169" xfId="208" applyNumberFormat="1" applyFont="1" applyFill="1" applyBorder="1" applyAlignment="1" applyProtection="1">
      <alignment horizontal="center" vertical="center" wrapText="1"/>
    </xf>
    <xf numFmtId="0" fontId="2" fillId="0" borderId="39" xfId="208" applyFont="1" applyBorder="1" applyAlignment="1" applyProtection="1">
      <alignment horizontal="left" vertical="center"/>
    </xf>
    <xf numFmtId="1" fontId="43" fillId="0" borderId="204" xfId="208" applyNumberFormat="1" applyFont="1" applyBorder="1" applyAlignment="1" applyProtection="1">
      <alignment horizontal="center" vertical="center"/>
      <protection locked="0"/>
    </xf>
    <xf numFmtId="0" fontId="2" fillId="25" borderId="36" xfId="208" applyFont="1" applyFill="1" applyBorder="1" applyAlignment="1" applyProtection="1">
      <alignment horizontal="center" vertical="center" wrapText="1"/>
    </xf>
    <xf numFmtId="0" fontId="2" fillId="25" borderId="0" xfId="208" applyFont="1" applyFill="1" applyBorder="1" applyAlignment="1" applyProtection="1">
      <alignment horizontal="center" vertical="center" wrapText="1"/>
    </xf>
    <xf numFmtId="0" fontId="2" fillId="25" borderId="38" xfId="208" applyFont="1" applyFill="1" applyBorder="1" applyAlignment="1" applyProtection="1">
      <alignment horizontal="center" vertical="center" wrapText="1"/>
    </xf>
    <xf numFmtId="0" fontId="2" fillId="25" borderId="39" xfId="208" applyFont="1" applyFill="1" applyBorder="1" applyAlignment="1" applyProtection="1">
      <alignment horizontal="center" vertical="center" wrapText="1"/>
    </xf>
    <xf numFmtId="0" fontId="2" fillId="25" borderId="18" xfId="208" applyFont="1" applyFill="1" applyBorder="1" applyAlignment="1" applyProtection="1">
      <alignment horizontal="center" vertical="center" wrapText="1"/>
    </xf>
    <xf numFmtId="0" fontId="2" fillId="25" borderId="122" xfId="208" applyFont="1" applyFill="1" applyBorder="1" applyAlignment="1" applyProtection="1">
      <alignment horizontal="center" vertical="center" wrapText="1"/>
    </xf>
    <xf numFmtId="0" fontId="43" fillId="2" borderId="0" xfId="208" applyFont="1" applyFill="1" applyBorder="1" applyAlignment="1" applyProtection="1">
      <alignment horizontal="center" vertical="center" wrapText="1"/>
    </xf>
    <xf numFmtId="0" fontId="43" fillId="2" borderId="18" xfId="208" applyFont="1" applyFill="1" applyBorder="1" applyAlignment="1" applyProtection="1">
      <alignment horizontal="center" vertical="center" wrapText="1"/>
    </xf>
    <xf numFmtId="0" fontId="5" fillId="0" borderId="12" xfId="208" applyFont="1" applyBorder="1" applyAlignment="1" applyProtection="1">
      <alignment horizontal="center" vertical="center"/>
    </xf>
    <xf numFmtId="0" fontId="5" fillId="0" borderId="17" xfId="208" applyFont="1" applyBorder="1" applyAlignment="1" applyProtection="1">
      <alignment horizontal="center" vertical="center"/>
    </xf>
    <xf numFmtId="0" fontId="5" fillId="0" borderId="0" xfId="208" applyFont="1" applyBorder="1" applyAlignment="1" applyProtection="1">
      <alignment horizontal="center" vertical="center" wrapText="1"/>
    </xf>
    <xf numFmtId="0" fontId="5" fillId="0" borderId="18" xfId="208" applyFont="1" applyBorder="1" applyAlignment="1" applyProtection="1">
      <alignment horizontal="center" vertical="center" wrapText="1"/>
    </xf>
    <xf numFmtId="0" fontId="111" fillId="0" borderId="42" xfId="208" applyFont="1" applyBorder="1" applyAlignment="1" applyProtection="1">
      <alignment horizontal="left" vertical="center" wrapText="1"/>
    </xf>
    <xf numFmtId="0" fontId="111" fillId="0" borderId="30" xfId="208" applyFont="1" applyBorder="1" applyAlignment="1" applyProtection="1">
      <alignment horizontal="left" vertical="center" wrapText="1"/>
    </xf>
    <xf numFmtId="0" fontId="111" fillId="0" borderId="206" xfId="208" applyFont="1" applyBorder="1" applyAlignment="1" applyProtection="1">
      <alignment horizontal="left" vertical="center" wrapText="1"/>
    </xf>
    <xf numFmtId="0" fontId="111" fillId="0" borderId="42" xfId="208" applyFont="1" applyBorder="1" applyAlignment="1" applyProtection="1">
      <alignment horizontal="left" vertical="center"/>
    </xf>
    <xf numFmtId="0" fontId="111" fillId="0" borderId="30" xfId="208" applyFont="1" applyBorder="1" applyAlignment="1" applyProtection="1">
      <alignment horizontal="left" vertical="center"/>
    </xf>
    <xf numFmtId="0" fontId="111" fillId="0" borderId="206" xfId="208" applyFont="1" applyBorder="1" applyAlignment="1" applyProtection="1">
      <alignment horizontal="left" vertical="center"/>
    </xf>
    <xf numFmtId="0" fontId="43" fillId="25" borderId="72" xfId="208" applyFont="1" applyFill="1" applyBorder="1" applyAlignment="1" applyProtection="1">
      <alignment horizontal="center" vertical="center"/>
    </xf>
    <xf numFmtId="0" fontId="43" fillId="25" borderId="34" xfId="208" applyFont="1" applyFill="1" applyBorder="1" applyAlignment="1" applyProtection="1">
      <alignment horizontal="center" vertical="center"/>
    </xf>
    <xf numFmtId="0" fontId="43" fillId="25" borderId="0" xfId="208" applyFont="1" applyFill="1" applyBorder="1" applyAlignment="1" applyProtection="1">
      <alignment horizontal="center" vertical="center"/>
    </xf>
    <xf numFmtId="0" fontId="43" fillId="25" borderId="18" xfId="208" applyFont="1" applyFill="1" applyBorder="1" applyAlignment="1" applyProtection="1">
      <alignment horizontal="center" vertical="center"/>
    </xf>
    <xf numFmtId="0" fontId="102" fillId="0" borderId="107" xfId="208" applyFont="1" applyBorder="1" applyAlignment="1" applyProtection="1">
      <alignment horizontal="center" vertical="center" wrapText="1"/>
    </xf>
    <xf numFmtId="0" fontId="102" fillId="0" borderId="38" xfId="208" applyFont="1" applyBorder="1" applyAlignment="1" applyProtection="1">
      <alignment horizontal="center" vertical="center" wrapText="1"/>
      <protection locked="0"/>
    </xf>
    <xf numFmtId="0" fontId="102" fillId="0" borderId="39" xfId="208" applyFont="1" applyBorder="1" applyAlignment="1" applyProtection="1">
      <alignment horizontal="center" vertical="center" wrapText="1"/>
      <protection locked="0"/>
    </xf>
    <xf numFmtId="1" fontId="43" fillId="0" borderId="31" xfId="208" applyNumberFormat="1" applyFont="1" applyBorder="1" applyAlignment="1" applyProtection="1">
      <alignment horizontal="center" vertical="center" wrapText="1"/>
    </xf>
    <xf numFmtId="1" fontId="43" fillId="0" borderId="41" xfId="208" applyNumberFormat="1" applyFont="1" applyBorder="1" applyAlignment="1" applyProtection="1">
      <alignment horizontal="center" vertical="center" wrapText="1"/>
    </xf>
    <xf numFmtId="1" fontId="43" fillId="0" borderId="42" xfId="208" applyNumberFormat="1" applyFont="1" applyBorder="1" applyAlignment="1" applyProtection="1">
      <alignment horizontal="center" vertical="center" wrapText="1"/>
    </xf>
    <xf numFmtId="0" fontId="43" fillId="25" borderId="19" xfId="208" applyFont="1" applyFill="1" applyBorder="1" applyAlignment="1" applyProtection="1">
      <alignment horizontal="center" vertical="center"/>
    </xf>
    <xf numFmtId="0" fontId="1" fillId="0" borderId="13" xfId="208" applyFont="1" applyBorder="1" applyAlignment="1" applyProtection="1">
      <alignment horizontal="center"/>
    </xf>
    <xf numFmtId="0" fontId="1" fillId="0" borderId="12" xfId="208" applyFont="1" applyBorder="1" applyAlignment="1" applyProtection="1">
      <alignment horizontal="center"/>
    </xf>
    <xf numFmtId="0" fontId="1" fillId="0" borderId="76" xfId="208" applyFont="1" applyBorder="1" applyAlignment="1" applyProtection="1">
      <alignment horizontal="center"/>
    </xf>
    <xf numFmtId="0" fontId="1" fillId="0" borderId="19" xfId="208" applyFont="1" applyBorder="1" applyAlignment="1" applyProtection="1">
      <alignment horizontal="center"/>
    </xf>
    <xf numFmtId="0" fontId="1" fillId="0" borderId="0" xfId="208" applyFont="1" applyBorder="1" applyAlignment="1" applyProtection="1">
      <alignment horizontal="center"/>
    </xf>
    <xf numFmtId="0" fontId="1" fillId="0" borderId="37" xfId="208" applyFont="1" applyBorder="1" applyAlignment="1" applyProtection="1">
      <alignment horizontal="center"/>
    </xf>
    <xf numFmtId="0" fontId="1" fillId="0" borderId="121" xfId="208" applyFont="1" applyBorder="1" applyAlignment="1" applyProtection="1">
      <alignment horizontal="center"/>
    </xf>
    <xf numFmtId="0" fontId="1" fillId="0" borderId="39" xfId="208" applyFont="1" applyBorder="1" applyAlignment="1" applyProtection="1">
      <alignment horizontal="center"/>
    </xf>
    <xf numFmtId="0" fontId="1" fillId="0" borderId="40" xfId="208" applyFont="1" applyBorder="1" applyAlignment="1" applyProtection="1">
      <alignment horizontal="center"/>
    </xf>
    <xf numFmtId="0" fontId="2" fillId="2" borderId="34" xfId="72" applyFont="1" applyFill="1" applyBorder="1" applyAlignment="1" applyProtection="1">
      <alignment vertical="center"/>
      <protection locked="0"/>
    </xf>
    <xf numFmtId="0" fontId="2" fillId="2" borderId="107" xfId="72" applyFont="1" applyFill="1" applyBorder="1" applyAlignment="1" applyProtection="1">
      <alignment vertical="center"/>
      <protection locked="0"/>
    </xf>
    <xf numFmtId="168" fontId="2" fillId="26" borderId="0" xfId="208" applyNumberFormat="1" applyFont="1" applyFill="1" applyBorder="1" applyAlignment="1" applyProtection="1">
      <alignment horizontal="left" vertical="top"/>
    </xf>
    <xf numFmtId="168" fontId="2" fillId="26" borderId="18" xfId="208" applyNumberFormat="1" applyFont="1" applyFill="1" applyBorder="1" applyAlignment="1" applyProtection="1">
      <alignment horizontal="left" vertical="top"/>
    </xf>
    <xf numFmtId="0" fontId="43" fillId="26" borderId="34" xfId="0" applyFont="1" applyFill="1" applyBorder="1" applyAlignment="1" applyProtection="1">
      <alignment horizontal="left" vertical="center"/>
    </xf>
    <xf numFmtId="0" fontId="43" fillId="26" borderId="19" xfId="208" applyFont="1" applyFill="1" applyBorder="1" applyAlignment="1" applyProtection="1">
      <alignment vertical="center"/>
    </xf>
    <xf numFmtId="0" fontId="43" fillId="26" borderId="0" xfId="208" applyFont="1" applyFill="1" applyBorder="1" applyAlignment="1" applyProtection="1">
      <alignment vertical="center"/>
    </xf>
    <xf numFmtId="0" fontId="43" fillId="26" borderId="15" xfId="208" applyFont="1" applyFill="1" applyBorder="1" applyAlignment="1" applyProtection="1">
      <alignment vertical="center"/>
    </xf>
    <xf numFmtId="0" fontId="43" fillId="26" borderId="16" xfId="208" applyFont="1" applyFill="1" applyBorder="1" applyAlignment="1" applyProtection="1">
      <alignment vertical="center"/>
    </xf>
    <xf numFmtId="0" fontId="2" fillId="26" borderId="16" xfId="208" applyFont="1" applyFill="1" applyBorder="1" applyAlignment="1" applyProtection="1">
      <alignment horizontal="left" vertical="center"/>
    </xf>
    <xf numFmtId="0" fontId="102" fillId="0" borderId="72" xfId="208" applyFont="1" applyBorder="1" applyAlignment="1" applyProtection="1">
      <alignment horizontal="center" vertical="center" wrapText="1"/>
    </xf>
    <xf numFmtId="0" fontId="102" fillId="0" borderId="35" xfId="208" applyFont="1" applyBorder="1" applyAlignment="1" applyProtection="1">
      <alignment horizontal="center" vertical="center" wrapText="1"/>
    </xf>
    <xf numFmtId="0" fontId="102" fillId="0" borderId="121" xfId="208" applyFont="1" applyBorder="1" applyAlignment="1" applyProtection="1">
      <alignment horizontal="center" vertical="center" wrapText="1"/>
    </xf>
    <xf numFmtId="0" fontId="102" fillId="0" borderId="39" xfId="208" applyFont="1" applyBorder="1" applyAlignment="1" applyProtection="1">
      <alignment horizontal="center" vertical="center" wrapText="1"/>
    </xf>
    <xf numFmtId="0" fontId="102" fillId="0" borderId="40" xfId="208" applyFont="1" applyBorder="1" applyAlignment="1" applyProtection="1">
      <alignment horizontal="center" vertical="center" wrapText="1"/>
    </xf>
    <xf numFmtId="0" fontId="2" fillId="26" borderId="34" xfId="208" applyFont="1" applyFill="1" applyBorder="1" applyAlignment="1" applyProtection="1">
      <alignment horizontal="left" vertical="center"/>
    </xf>
    <xf numFmtId="0" fontId="43" fillId="26" borderId="72" xfId="208" applyFont="1" applyFill="1" applyBorder="1" applyAlignment="1" applyProtection="1">
      <alignment vertical="center"/>
    </xf>
    <xf numFmtId="0" fontId="43" fillId="26" borderId="34" xfId="208" applyFont="1" applyFill="1" applyBorder="1" applyAlignment="1" applyProtection="1">
      <alignment vertical="center"/>
    </xf>
    <xf numFmtId="0" fontId="2" fillId="26" borderId="0" xfId="208" applyFont="1" applyFill="1" applyBorder="1" applyAlignment="1" applyProtection="1">
      <alignment horizontal="left" vertical="top"/>
    </xf>
    <xf numFmtId="0" fontId="43" fillId="26" borderId="0" xfId="208" applyFont="1" applyFill="1" applyBorder="1" applyAlignment="1" applyProtection="1">
      <alignment horizontal="left" vertical="center"/>
    </xf>
    <xf numFmtId="0" fontId="43" fillId="0" borderId="16" xfId="208" applyFont="1" applyBorder="1" applyAlignment="1" applyProtection="1">
      <alignment horizontal="left" vertical="center"/>
    </xf>
    <xf numFmtId="0" fontId="43" fillId="26" borderId="0" xfId="208" applyFont="1" applyFill="1" applyBorder="1" applyAlignment="1" applyProtection="1">
      <alignment horizontal="right" vertical="top"/>
    </xf>
    <xf numFmtId="168" fontId="2" fillId="26" borderId="0" xfId="208" applyNumberFormat="1" applyFont="1" applyFill="1" applyBorder="1" applyAlignment="1" applyProtection="1">
      <alignment horizontal="left" vertical="top"/>
      <protection locked="0"/>
    </xf>
    <xf numFmtId="168" fontId="2" fillId="26" borderId="18" xfId="208" applyNumberFormat="1" applyFont="1" applyFill="1" applyBorder="1" applyAlignment="1" applyProtection="1">
      <alignment horizontal="left" vertical="top"/>
      <protection locked="0"/>
    </xf>
    <xf numFmtId="0" fontId="2" fillId="0" borderId="166" xfId="208" applyFont="1" applyBorder="1" applyAlignment="1" applyProtection="1">
      <alignment horizontal="center" vertical="center" wrapText="1"/>
    </xf>
    <xf numFmtId="0" fontId="2" fillId="0" borderId="41" xfId="208" applyFont="1" applyBorder="1" applyAlignment="1" applyProtection="1">
      <alignment horizontal="center" vertical="center" wrapText="1"/>
    </xf>
    <xf numFmtId="0" fontId="43" fillId="26" borderId="0" xfId="208" applyFont="1" applyFill="1" applyBorder="1" applyAlignment="1" applyProtection="1">
      <alignment horizontal="right" vertical="center"/>
    </xf>
    <xf numFmtId="0" fontId="58" fillId="30" borderId="56" xfId="208" applyFont="1" applyFill="1" applyBorder="1" applyAlignment="1" applyProtection="1">
      <alignment horizontal="left" vertical="top" wrapText="1"/>
      <protection locked="0"/>
    </xf>
    <xf numFmtId="167" fontId="2" fillId="0" borderId="155" xfId="208" applyNumberFormat="1" applyFont="1" applyBorder="1" applyAlignment="1" applyProtection="1">
      <alignment horizontal="center" vertical="center" wrapText="1"/>
    </xf>
    <xf numFmtId="167" fontId="2" fillId="0" borderId="159" xfId="208" applyNumberFormat="1" applyFont="1" applyBorder="1" applyAlignment="1" applyProtection="1">
      <alignment horizontal="center" vertical="center" wrapText="1"/>
    </xf>
    <xf numFmtId="0" fontId="3" fillId="30" borderId="56" xfId="208" applyFont="1" applyFill="1" applyBorder="1" applyAlignment="1" applyProtection="1">
      <alignment horizontal="center"/>
      <protection locked="0"/>
    </xf>
    <xf numFmtId="0" fontId="2" fillId="26" borderId="155" xfId="208" applyFont="1" applyFill="1" applyBorder="1" applyAlignment="1" applyProtection="1">
      <alignment horizontal="center" vertical="center" wrapText="1"/>
    </xf>
    <xf numFmtId="0" fontId="2" fillId="26" borderId="159" xfId="208" applyFont="1" applyFill="1" applyBorder="1" applyAlignment="1" applyProtection="1">
      <alignment horizontal="center" vertical="center" wrapText="1"/>
    </xf>
    <xf numFmtId="0" fontId="2" fillId="0" borderId="134" xfId="208" applyFont="1" applyBorder="1" applyAlignment="1" applyProtection="1">
      <alignment horizontal="center" vertical="center" wrapText="1"/>
      <protection locked="0"/>
    </xf>
    <xf numFmtId="0" fontId="2" fillId="0" borderId="135" xfId="208" applyFont="1" applyBorder="1" applyAlignment="1" applyProtection="1">
      <alignment horizontal="center" vertical="center" wrapText="1"/>
      <protection locked="0"/>
    </xf>
    <xf numFmtId="0" fontId="2" fillId="0" borderId="156" xfId="208" applyFont="1" applyBorder="1" applyAlignment="1" applyProtection="1">
      <alignment horizontal="center" vertical="center" wrapText="1"/>
      <protection locked="0"/>
    </xf>
    <xf numFmtId="1" fontId="2" fillId="0" borderId="134" xfId="208" applyNumberFormat="1" applyFont="1" applyBorder="1" applyAlignment="1" applyProtection="1">
      <alignment horizontal="center" vertical="center" wrapText="1"/>
      <protection locked="0"/>
    </xf>
    <xf numFmtId="1" fontId="2" fillId="0" borderId="135" xfId="208" applyNumberFormat="1" applyFont="1" applyBorder="1" applyAlignment="1" applyProtection="1">
      <alignment horizontal="center" vertical="center" wrapText="1"/>
      <protection locked="0"/>
    </xf>
    <xf numFmtId="1" fontId="2" fillId="0" borderId="156" xfId="208" applyNumberFormat="1" applyFont="1" applyBorder="1" applyAlignment="1" applyProtection="1">
      <alignment horizontal="center" vertical="center" wrapText="1"/>
      <protection locked="0"/>
    </xf>
    <xf numFmtId="0" fontId="103" fillId="30" borderId="56" xfId="208" applyFont="1" applyFill="1" applyBorder="1" applyAlignment="1" applyProtection="1">
      <alignment horizontal="left" vertical="top" wrapText="1"/>
      <protection locked="0"/>
    </xf>
    <xf numFmtId="0" fontId="2" fillId="0" borderId="137" xfId="208" applyFont="1" applyBorder="1" applyAlignment="1" applyProtection="1">
      <alignment horizontal="center" vertical="center" wrapText="1"/>
      <protection locked="0"/>
    </xf>
    <xf numFmtId="0" fontId="2" fillId="0" borderId="138" xfId="208" applyFont="1" applyBorder="1" applyAlignment="1" applyProtection="1">
      <alignment horizontal="center" vertical="center" wrapText="1"/>
      <protection locked="0"/>
    </xf>
    <xf numFmtId="0" fontId="2" fillId="0" borderId="148" xfId="208" applyFont="1" applyBorder="1" applyAlignment="1" applyProtection="1">
      <alignment horizontal="center" vertical="center" wrapText="1"/>
      <protection locked="0"/>
    </xf>
    <xf numFmtId="1" fontId="2" fillId="0" borderId="137" xfId="208" applyNumberFormat="1" applyFont="1" applyBorder="1" applyAlignment="1" applyProtection="1">
      <alignment horizontal="center" vertical="center" wrapText="1"/>
      <protection locked="0"/>
    </xf>
    <xf numFmtId="1" fontId="2" fillId="0" borderId="138" xfId="208" applyNumberFormat="1" applyFont="1" applyBorder="1" applyAlignment="1" applyProtection="1">
      <alignment horizontal="center" vertical="center" wrapText="1"/>
      <protection locked="0"/>
    </xf>
    <xf numFmtId="1" fontId="2" fillId="0" borderId="148" xfId="208" applyNumberFormat="1" applyFont="1" applyBorder="1" applyAlignment="1" applyProtection="1">
      <alignment horizontal="center" vertical="center" wrapText="1"/>
      <protection locked="0"/>
    </xf>
    <xf numFmtId="0" fontId="43" fillId="37" borderId="0" xfId="208" applyFont="1" applyFill="1" applyBorder="1" applyAlignment="1" applyProtection="1">
      <alignment horizontal="center" vertical="center" wrapText="1"/>
    </xf>
    <xf numFmtId="0" fontId="43" fillId="37" borderId="18" xfId="208" applyFont="1" applyFill="1" applyBorder="1" applyAlignment="1" applyProtection="1">
      <alignment horizontal="center" vertical="center" wrapText="1"/>
    </xf>
    <xf numFmtId="0" fontId="45" fillId="25" borderId="58" xfId="68" applyFont="1" applyFill="1" applyBorder="1" applyAlignment="1" applyProtection="1">
      <alignment horizontal="center" vertical="center"/>
    </xf>
    <xf numFmtId="0" fontId="45" fillId="25" borderId="59" xfId="68" applyFont="1" applyFill="1" applyBorder="1" applyAlignment="1" applyProtection="1">
      <alignment horizontal="center" vertical="center"/>
    </xf>
    <xf numFmtId="0" fontId="4" fillId="26" borderId="36" xfId="71" applyFont="1" applyFill="1" applyBorder="1" applyAlignment="1" applyProtection="1">
      <alignment horizontal="center" vertical="center"/>
      <protection locked="0"/>
    </xf>
    <xf numFmtId="0" fontId="4" fillId="26" borderId="37" xfId="71" applyFont="1" applyFill="1" applyBorder="1" applyAlignment="1" applyProtection="1">
      <alignment horizontal="center" vertical="center"/>
      <protection locked="0"/>
    </xf>
    <xf numFmtId="0" fontId="4" fillId="26" borderId="46" xfId="71" applyFont="1" applyFill="1" applyBorder="1" applyAlignment="1" applyProtection="1">
      <alignment horizontal="center" vertical="center"/>
    </xf>
    <xf numFmtId="0" fontId="4" fillId="26" borderId="45" xfId="71" applyFont="1" applyFill="1" applyBorder="1" applyAlignment="1" applyProtection="1">
      <alignment horizontal="center" vertical="center"/>
    </xf>
    <xf numFmtId="0" fontId="4" fillId="26" borderId="47" xfId="71" applyFont="1" applyFill="1" applyBorder="1" applyAlignment="1" applyProtection="1">
      <alignment horizontal="center" vertical="center"/>
    </xf>
    <xf numFmtId="0" fontId="5" fillId="25" borderId="19" xfId="71" applyFont="1" applyFill="1" applyBorder="1" applyAlignment="1" applyProtection="1">
      <alignment horizontal="left" vertical="center" indent="1"/>
    </xf>
    <xf numFmtId="0" fontId="5" fillId="25" borderId="0" xfId="71" applyFont="1" applyFill="1" applyBorder="1" applyAlignment="1" applyProtection="1">
      <alignment horizontal="left" vertical="center" indent="1"/>
    </xf>
    <xf numFmtId="0" fontId="5" fillId="25" borderId="37" xfId="71" applyFont="1" applyFill="1" applyBorder="1" applyAlignment="1" applyProtection="1">
      <alignment horizontal="left" vertical="center" indent="1"/>
    </xf>
    <xf numFmtId="0" fontId="5" fillId="25" borderId="19" xfId="71" applyFont="1" applyFill="1" applyBorder="1" applyAlignment="1" applyProtection="1">
      <alignment horizontal="left" indent="1"/>
    </xf>
    <xf numFmtId="0" fontId="5" fillId="25" borderId="0" xfId="71" applyFont="1" applyFill="1" applyBorder="1" applyAlignment="1" applyProtection="1">
      <alignment horizontal="left" indent="1"/>
    </xf>
    <xf numFmtId="0" fontId="5" fillId="25" borderId="37" xfId="71" applyFont="1" applyFill="1" applyBorder="1" applyAlignment="1" applyProtection="1">
      <alignment horizontal="left" indent="1"/>
    </xf>
    <xf numFmtId="0" fontId="4" fillId="0" borderId="36" xfId="71" applyFont="1" applyFill="1" applyBorder="1" applyAlignment="1" applyProtection="1">
      <alignment horizontal="center" vertical="center"/>
    </xf>
    <xf numFmtId="0" fontId="4" fillId="0" borderId="0" xfId="71" applyFont="1" applyFill="1" applyBorder="1" applyAlignment="1" applyProtection="1">
      <alignment horizontal="center" vertical="center"/>
    </xf>
    <xf numFmtId="0" fontId="4" fillId="0" borderId="37" xfId="71" applyFont="1" applyFill="1" applyBorder="1" applyAlignment="1" applyProtection="1">
      <alignment horizontal="center" vertical="center"/>
    </xf>
    <xf numFmtId="1" fontId="43" fillId="2" borderId="41" xfId="208" applyNumberFormat="1" applyFont="1" applyFill="1" applyBorder="1" applyAlignment="1" applyProtection="1">
      <alignment horizontal="center" vertical="center"/>
    </xf>
    <xf numFmtId="1" fontId="43" fillId="2" borderId="169" xfId="208" applyNumberFormat="1" applyFont="1" applyFill="1" applyBorder="1" applyAlignment="1" applyProtection="1">
      <alignment horizontal="center" vertical="center"/>
    </xf>
    <xf numFmtId="1" fontId="2" fillId="0" borderId="0" xfId="208" applyNumberFormat="1" applyFont="1" applyBorder="1" applyAlignment="1" applyProtection="1">
      <alignment horizontal="center" vertical="center" wrapText="1"/>
      <protection locked="0"/>
    </xf>
    <xf numFmtId="0" fontId="43" fillId="0" borderId="0" xfId="208" applyFont="1" applyBorder="1" applyAlignment="1" applyProtection="1">
      <alignment horizontal="center" vertical="center"/>
      <protection locked="0"/>
    </xf>
    <xf numFmtId="0" fontId="43" fillId="0" borderId="18" xfId="208" applyFont="1" applyBorder="1" applyAlignment="1" applyProtection="1">
      <alignment horizontal="center" vertical="center"/>
      <protection locked="0"/>
    </xf>
    <xf numFmtId="0" fontId="43" fillId="25" borderId="33" xfId="208" applyFont="1" applyFill="1" applyBorder="1" applyAlignment="1" applyProtection="1">
      <alignment horizontal="center" vertical="center"/>
    </xf>
    <xf numFmtId="0" fontId="43" fillId="25" borderId="107" xfId="208" applyFont="1" applyFill="1" applyBorder="1" applyAlignment="1" applyProtection="1">
      <alignment horizontal="center" vertical="center"/>
    </xf>
    <xf numFmtId="167" fontId="2" fillId="0" borderId="33" xfId="208" applyNumberFormat="1" applyFont="1" applyBorder="1" applyAlignment="1" applyProtection="1">
      <alignment horizontal="left" vertical="center"/>
      <protection locked="0"/>
    </xf>
    <xf numFmtId="167" fontId="2" fillId="0" borderId="34" xfId="208" applyNumberFormat="1" applyFont="1" applyBorder="1" applyAlignment="1" applyProtection="1">
      <alignment horizontal="left" vertical="center"/>
      <protection locked="0"/>
    </xf>
    <xf numFmtId="167" fontId="2" fillId="0" borderId="35" xfId="208" applyNumberFormat="1" applyFont="1" applyBorder="1" applyAlignment="1" applyProtection="1">
      <alignment horizontal="left" vertical="center"/>
      <protection locked="0"/>
    </xf>
    <xf numFmtId="0" fontId="2" fillId="0" borderId="31" xfId="208" applyFont="1" applyFill="1" applyBorder="1" applyAlignment="1" applyProtection="1">
      <alignment horizontal="center" vertical="center"/>
      <protection locked="0"/>
    </xf>
    <xf numFmtId="0" fontId="2" fillId="0" borderId="41" xfId="208" applyFont="1" applyFill="1" applyBorder="1" applyAlignment="1" applyProtection="1">
      <alignment horizontal="center" vertical="center"/>
      <protection locked="0"/>
    </xf>
    <xf numFmtId="0" fontId="2" fillId="0" borderId="169" xfId="208" applyFont="1" applyFill="1" applyBorder="1" applyAlignment="1" applyProtection="1">
      <alignment horizontal="center" vertical="center"/>
      <protection locked="0"/>
    </xf>
    <xf numFmtId="0" fontId="102" fillId="0" borderId="130" xfId="208" applyFont="1" applyBorder="1" applyAlignment="1" applyProtection="1">
      <alignment horizontal="center" vertical="center" wrapText="1"/>
    </xf>
    <xf numFmtId="0" fontId="102" fillId="0" borderId="131" xfId="208" applyFont="1" applyBorder="1" applyAlignment="1" applyProtection="1">
      <alignment horizontal="center" vertical="center" wrapText="1"/>
    </xf>
    <xf numFmtId="0" fontId="102" fillId="0" borderId="162" xfId="208" applyFont="1" applyBorder="1" applyAlignment="1" applyProtection="1">
      <alignment horizontal="center" vertical="center" wrapText="1"/>
    </xf>
    <xf numFmtId="0" fontId="2" fillId="0" borderId="19" xfId="208" applyFont="1" applyBorder="1" applyAlignment="1" applyProtection="1">
      <alignment horizontal="center" vertical="center" wrapText="1"/>
      <protection locked="0"/>
    </xf>
    <xf numFmtId="0" fontId="2" fillId="0" borderId="0" xfId="208" applyFont="1" applyBorder="1" applyAlignment="1" applyProtection="1">
      <alignment horizontal="center" vertical="center" wrapText="1"/>
      <protection locked="0"/>
    </xf>
    <xf numFmtId="0" fontId="2" fillId="0" borderId="151" xfId="208" applyFont="1" applyBorder="1" applyAlignment="1" applyProtection="1">
      <alignment horizontal="center" vertical="center" wrapText="1"/>
      <protection locked="0"/>
    </xf>
    <xf numFmtId="1" fontId="2" fillId="0" borderId="19" xfId="208" applyNumberFormat="1" applyFont="1" applyBorder="1" applyAlignment="1" applyProtection="1">
      <alignment horizontal="center" vertical="center" wrapText="1"/>
      <protection locked="0"/>
    </xf>
    <xf numFmtId="1" fontId="2" fillId="0" borderId="151" xfId="208" applyNumberFormat="1" applyFont="1" applyBorder="1" applyAlignment="1" applyProtection="1">
      <alignment horizontal="center" vertical="center" wrapText="1"/>
      <protection locked="0"/>
    </xf>
    <xf numFmtId="0" fontId="2" fillId="25" borderId="19" xfId="208" applyFont="1" applyFill="1" applyBorder="1" applyAlignment="1" applyProtection="1">
      <alignment horizontal="center" vertical="center" wrapText="1"/>
    </xf>
    <xf numFmtId="0" fontId="2" fillId="25" borderId="121" xfId="208" applyFont="1" applyFill="1" applyBorder="1" applyAlignment="1" applyProtection="1">
      <alignment horizontal="center" vertical="center" wrapText="1"/>
    </xf>
    <xf numFmtId="1" fontId="108" fillId="0" borderId="10" xfId="208" applyNumberFormat="1" applyFont="1" applyBorder="1" applyAlignment="1" applyProtection="1">
      <alignment horizontal="center" vertical="center" wrapText="1"/>
      <protection locked="0"/>
    </xf>
    <xf numFmtId="0" fontId="43" fillId="25" borderId="13" xfId="208" applyFont="1" applyFill="1" applyBorder="1" applyAlignment="1" applyProtection="1">
      <alignment horizontal="center" vertical="center"/>
    </xf>
    <xf numFmtId="0" fontId="43" fillId="25" borderId="12" xfId="208" applyFont="1" applyFill="1" applyBorder="1" applyAlignment="1" applyProtection="1">
      <alignment horizontal="center" vertical="center"/>
    </xf>
    <xf numFmtId="0" fontId="43" fillId="25" borderId="76" xfId="208" applyFont="1" applyFill="1" applyBorder="1" applyAlignment="1" applyProtection="1">
      <alignment horizontal="center" vertical="center"/>
    </xf>
    <xf numFmtId="0" fontId="5" fillId="25" borderId="44" xfId="71" applyFont="1" applyFill="1" applyBorder="1" applyAlignment="1" applyProtection="1">
      <alignment horizontal="left" vertical="center" indent="1"/>
    </xf>
    <xf numFmtId="0" fontId="5" fillId="25" borderId="45" xfId="71" applyFont="1" applyFill="1" applyBorder="1" applyAlignment="1" applyProtection="1">
      <alignment horizontal="left" vertical="center" indent="1"/>
    </xf>
    <xf numFmtId="0" fontId="5" fillId="25" borderId="47" xfId="71" applyFont="1" applyFill="1" applyBorder="1" applyAlignment="1" applyProtection="1">
      <alignment horizontal="left" vertical="center" indent="1"/>
    </xf>
    <xf numFmtId="0" fontId="2" fillId="0" borderId="198" xfId="208" applyFont="1" applyBorder="1" applyAlignment="1" applyProtection="1">
      <alignment horizontal="center"/>
    </xf>
    <xf numFmtId="0" fontId="2" fillId="0" borderId="196" xfId="208" applyFont="1" applyBorder="1" applyAlignment="1" applyProtection="1">
      <alignment horizontal="center"/>
    </xf>
    <xf numFmtId="0" fontId="2" fillId="0" borderId="195" xfId="208" applyFont="1" applyBorder="1" applyAlignment="1" applyProtection="1">
      <alignment horizontal="center"/>
    </xf>
    <xf numFmtId="167" fontId="43" fillId="2" borderId="196" xfId="208" applyNumberFormat="1" applyFont="1" applyFill="1" applyBorder="1" applyAlignment="1" applyProtection="1">
      <alignment horizontal="center" vertical="center" wrapText="1"/>
    </xf>
    <xf numFmtId="167" fontId="43" fillId="2" borderId="195" xfId="208" applyNumberFormat="1" applyFont="1" applyFill="1" applyBorder="1" applyAlignment="1" applyProtection="1">
      <alignment horizontal="center" vertical="center" wrapText="1"/>
    </xf>
    <xf numFmtId="0" fontId="5" fillId="25" borderId="36" xfId="71" applyFont="1" applyFill="1" applyBorder="1" applyAlignment="1" applyProtection="1">
      <alignment horizontal="center" vertical="center"/>
    </xf>
    <xf numFmtId="0" fontId="5" fillId="25" borderId="0" xfId="71" applyFont="1" applyFill="1" applyBorder="1" applyAlignment="1" applyProtection="1">
      <alignment horizontal="center" vertical="center"/>
    </xf>
    <xf numFmtId="0" fontId="5" fillId="25" borderId="37" xfId="71" applyFont="1" applyFill="1" applyBorder="1" applyAlignment="1" applyProtection="1">
      <alignment horizontal="center" vertical="center"/>
    </xf>
    <xf numFmtId="0" fontId="16" fillId="25" borderId="0" xfId="208" applyFont="1" applyFill="1" applyBorder="1" applyAlignment="1" applyProtection="1">
      <alignment horizontal="center" vertical="center" wrapText="1"/>
    </xf>
    <xf numFmtId="0" fontId="16" fillId="25" borderId="37" xfId="208" applyFont="1" applyFill="1" applyBorder="1" applyAlignment="1" applyProtection="1">
      <alignment horizontal="center" vertical="center" wrapText="1"/>
    </xf>
    <xf numFmtId="0" fontId="16" fillId="25" borderId="39" xfId="208" applyFont="1" applyFill="1" applyBorder="1" applyAlignment="1" applyProtection="1">
      <alignment horizontal="center" vertical="center" wrapText="1"/>
    </xf>
    <xf numFmtId="0" fontId="16" fillId="25" borderId="40" xfId="208" applyFont="1" applyFill="1" applyBorder="1" applyAlignment="1" applyProtection="1">
      <alignment horizontal="center" vertical="center" wrapText="1"/>
    </xf>
    <xf numFmtId="0" fontId="2" fillId="0" borderId="0" xfId="208" applyFont="1" applyBorder="1" applyAlignment="1" applyProtection="1">
      <alignment horizontal="center" vertical="center"/>
    </xf>
    <xf numFmtId="0" fontId="43" fillId="0" borderId="5" xfId="208" applyFont="1" applyBorder="1" applyAlignment="1" applyProtection="1">
      <alignment horizontal="center" vertical="center"/>
      <protection locked="0"/>
    </xf>
    <xf numFmtId="0" fontId="2" fillId="0" borderId="34" xfId="208" applyFont="1" applyBorder="1" applyAlignment="1" applyProtection="1">
      <alignment horizontal="left" vertical="center"/>
    </xf>
    <xf numFmtId="0" fontId="2" fillId="0" borderId="0" xfId="208" applyFont="1" applyBorder="1" applyAlignment="1" applyProtection="1">
      <alignment horizontal="left" vertical="center"/>
    </xf>
    <xf numFmtId="0" fontId="5" fillId="26" borderId="72" xfId="71" applyFont="1" applyFill="1" applyBorder="1" applyAlignment="1" applyProtection="1">
      <alignment horizontal="left" vertical="top" wrapText="1"/>
    </xf>
    <xf numFmtId="0" fontId="5" fillId="26" borderId="34" xfId="71" applyFont="1" applyFill="1" applyBorder="1" applyAlignment="1" applyProtection="1">
      <alignment horizontal="left" vertical="top" wrapText="1"/>
    </xf>
    <xf numFmtId="0" fontId="43" fillId="2" borderId="19" xfId="208" applyFont="1" applyFill="1" applyBorder="1" applyAlignment="1" applyProtection="1">
      <alignment horizontal="center" vertical="center" wrapText="1"/>
    </xf>
    <xf numFmtId="0" fontId="43" fillId="2" borderId="151" xfId="208" applyFont="1" applyFill="1" applyBorder="1" applyAlignment="1" applyProtection="1">
      <alignment horizontal="center" vertical="center" wrapText="1"/>
    </xf>
    <xf numFmtId="0" fontId="2" fillId="0" borderId="166" xfId="208" applyFont="1" applyBorder="1" applyAlignment="1" applyProtection="1">
      <alignment horizontal="center" vertical="center"/>
    </xf>
    <xf numFmtId="0" fontId="2" fillId="0" borderId="41" xfId="208" applyFont="1" applyBorder="1" applyAlignment="1" applyProtection="1">
      <alignment horizontal="center" vertical="center"/>
    </xf>
    <xf numFmtId="1" fontId="43" fillId="2" borderId="42" xfId="208" applyNumberFormat="1" applyFont="1" applyFill="1" applyBorder="1" applyAlignment="1" applyProtection="1">
      <alignment horizontal="center" vertical="center"/>
    </xf>
    <xf numFmtId="0" fontId="2" fillId="0" borderId="31" xfId="208" applyFont="1" applyBorder="1" applyAlignment="1" applyProtection="1">
      <alignment horizontal="center" vertical="center"/>
    </xf>
    <xf numFmtId="0" fontId="2" fillId="26" borderId="34" xfId="71" applyFont="1" applyFill="1" applyBorder="1" applyAlignment="1" applyProtection="1">
      <alignment horizontal="center" vertical="top" wrapText="1"/>
      <protection locked="0"/>
    </xf>
    <xf numFmtId="0" fontId="2" fillId="26" borderId="107" xfId="71" applyFont="1" applyFill="1" applyBorder="1" applyAlignment="1" applyProtection="1">
      <alignment horizontal="center" vertical="top" wrapText="1"/>
      <protection locked="0"/>
    </xf>
    <xf numFmtId="167" fontId="2" fillId="0" borderId="36" xfId="208" applyNumberFormat="1" applyFont="1" applyBorder="1" applyAlignment="1" applyProtection="1">
      <alignment horizontal="left" vertical="center"/>
      <protection locked="0"/>
    </xf>
    <xf numFmtId="167" fontId="2" fillId="0" borderId="0" xfId="208" applyNumberFormat="1" applyFont="1" applyBorder="1" applyAlignment="1" applyProtection="1">
      <alignment horizontal="left" vertical="center"/>
      <protection locked="0"/>
    </xf>
    <xf numFmtId="167" fontId="2" fillId="0" borderId="37" xfId="208" applyNumberFormat="1" applyFont="1" applyBorder="1" applyAlignment="1" applyProtection="1">
      <alignment horizontal="left" vertical="center"/>
      <protection locked="0"/>
    </xf>
    <xf numFmtId="0" fontId="43" fillId="28" borderId="11" xfId="208" applyFont="1" applyFill="1" applyBorder="1" applyAlignment="1" applyProtection="1">
      <alignment horizontal="center" vertical="center"/>
    </xf>
    <xf numFmtId="0" fontId="43" fillId="28" borderId="10" xfId="208" applyFont="1" applyFill="1" applyBorder="1" applyAlignment="1" applyProtection="1">
      <alignment horizontal="center" vertical="center"/>
    </xf>
    <xf numFmtId="0" fontId="43" fillId="28" borderId="9" xfId="208" applyFont="1" applyFill="1" applyBorder="1" applyAlignment="1" applyProtection="1">
      <alignment horizontal="center" vertical="center"/>
    </xf>
    <xf numFmtId="167" fontId="102" fillId="0" borderId="38" xfId="208" applyNumberFormat="1" applyFont="1" applyBorder="1" applyAlignment="1" applyProtection="1">
      <alignment horizontal="center" vertical="center" wrapText="1"/>
      <protection locked="0"/>
    </xf>
    <xf numFmtId="167" fontId="102" fillId="0" borderId="39" xfId="208" applyNumberFormat="1" applyFont="1" applyBorder="1" applyAlignment="1" applyProtection="1">
      <alignment horizontal="center" vertical="center" wrapText="1"/>
      <protection locked="0"/>
    </xf>
    <xf numFmtId="167" fontId="102" fillId="0" borderId="122" xfId="208" applyNumberFormat="1" applyFont="1" applyBorder="1" applyAlignment="1" applyProtection="1">
      <alignment horizontal="center" vertical="center" wrapText="1"/>
      <protection locked="0"/>
    </xf>
    <xf numFmtId="1" fontId="102" fillId="0" borderId="33" xfId="208" applyNumberFormat="1" applyFont="1" applyBorder="1" applyAlignment="1" applyProtection="1">
      <alignment horizontal="center" vertical="center"/>
    </xf>
    <xf numFmtId="1" fontId="102" fillId="0" borderId="34" xfId="208" applyNumberFormat="1" applyFont="1" applyBorder="1" applyAlignment="1" applyProtection="1">
      <alignment horizontal="center" vertical="center"/>
    </xf>
    <xf numFmtId="1" fontId="102" fillId="0" borderId="35" xfId="208" applyNumberFormat="1" applyFont="1" applyBorder="1" applyAlignment="1" applyProtection="1">
      <alignment horizontal="center" vertical="center"/>
    </xf>
    <xf numFmtId="1" fontId="102" fillId="0" borderId="38" xfId="208" applyNumberFormat="1" applyFont="1" applyBorder="1" applyAlignment="1" applyProtection="1">
      <alignment horizontal="center" vertical="center" wrapText="1"/>
      <protection locked="0"/>
    </xf>
    <xf numFmtId="1" fontId="102" fillId="0" borderId="39" xfId="208" applyNumberFormat="1" applyFont="1" applyBorder="1" applyAlignment="1" applyProtection="1">
      <alignment horizontal="center" vertical="center" wrapText="1"/>
      <protection locked="0"/>
    </xf>
    <xf numFmtId="1" fontId="102" fillId="0" borderId="40" xfId="208" applyNumberFormat="1" applyFont="1" applyBorder="1" applyAlignment="1" applyProtection="1">
      <alignment horizontal="center" vertical="center" wrapText="1"/>
      <protection locked="0"/>
    </xf>
    <xf numFmtId="1" fontId="102" fillId="0" borderId="33" xfId="208" applyNumberFormat="1" applyFont="1" applyBorder="1" applyAlignment="1" applyProtection="1">
      <alignment horizontal="center" vertical="center" wrapText="1"/>
    </xf>
    <xf numFmtId="1" fontId="102" fillId="0" borderId="34" xfId="208" applyNumberFormat="1" applyFont="1" applyBorder="1" applyAlignment="1" applyProtection="1">
      <alignment horizontal="center" vertical="center" wrapText="1"/>
    </xf>
    <xf numFmtId="1" fontId="102" fillId="0" borderId="35" xfId="208" applyNumberFormat="1" applyFont="1" applyBorder="1" applyAlignment="1" applyProtection="1">
      <alignment horizontal="center" vertical="center" wrapText="1"/>
    </xf>
    <xf numFmtId="0" fontId="1" fillId="0" borderId="31" xfId="208" applyBorder="1" applyAlignment="1" applyProtection="1">
      <alignment horizontal="center"/>
      <protection locked="0"/>
    </xf>
    <xf numFmtId="0" fontId="1" fillId="0" borderId="41" xfId="208" applyBorder="1" applyAlignment="1" applyProtection="1">
      <alignment horizontal="center"/>
      <protection locked="0"/>
    </xf>
    <xf numFmtId="0" fontId="1" fillId="0" borderId="169" xfId="208" applyBorder="1" applyAlignment="1" applyProtection="1">
      <alignment horizontal="center"/>
      <protection locked="0"/>
    </xf>
    <xf numFmtId="167" fontId="2" fillId="0" borderId="72" xfId="208" applyNumberFormat="1" applyFont="1" applyBorder="1" applyAlignment="1" applyProtection="1">
      <alignment horizontal="left" vertical="center"/>
    </xf>
    <xf numFmtId="167" fontId="2" fillId="0" borderId="34" xfId="208" applyNumberFormat="1" applyFont="1" applyBorder="1" applyAlignment="1" applyProtection="1">
      <alignment horizontal="left" vertical="center"/>
    </xf>
    <xf numFmtId="167" fontId="2" fillId="0" borderId="35" xfId="208" applyNumberFormat="1" applyFont="1" applyBorder="1" applyAlignment="1" applyProtection="1">
      <alignment horizontal="left" vertical="center"/>
    </xf>
    <xf numFmtId="167" fontId="2" fillId="0" borderId="19" xfId="208" applyNumberFormat="1" applyFont="1" applyBorder="1" applyAlignment="1" applyProtection="1">
      <alignment horizontal="left" vertical="center"/>
    </xf>
    <xf numFmtId="167" fontId="2" fillId="0" borderId="0" xfId="208" applyNumberFormat="1" applyFont="1" applyBorder="1" applyAlignment="1" applyProtection="1">
      <alignment horizontal="left" vertical="center"/>
    </xf>
    <xf numFmtId="167" fontId="2" fillId="0" borderId="37" xfId="208" applyNumberFormat="1" applyFont="1" applyBorder="1" applyAlignment="1" applyProtection="1">
      <alignment horizontal="left" vertical="center"/>
    </xf>
    <xf numFmtId="0" fontId="43" fillId="28" borderId="166" xfId="208" applyFont="1" applyFill="1" applyBorder="1" applyAlignment="1" applyProtection="1">
      <alignment horizontal="center" vertical="center"/>
    </xf>
    <xf numFmtId="0" fontId="43" fillId="28" borderId="41" xfId="208" applyFont="1" applyFill="1" applyBorder="1" applyAlignment="1" applyProtection="1">
      <alignment horizontal="center" vertical="center"/>
    </xf>
    <xf numFmtId="0" fontId="43" fillId="28" borderId="169" xfId="208" applyFont="1" applyFill="1" applyBorder="1" applyAlignment="1" applyProtection="1">
      <alignment horizontal="center" vertical="center"/>
    </xf>
    <xf numFmtId="1" fontId="2" fillId="0" borderId="204" xfId="208" applyNumberFormat="1" applyFont="1" applyBorder="1" applyAlignment="1" applyProtection="1">
      <alignment horizontal="center"/>
      <protection locked="0"/>
    </xf>
    <xf numFmtId="0" fontId="2" fillId="0" borderId="204" xfId="208" applyFont="1" applyBorder="1" applyAlignment="1" applyProtection="1">
      <alignment horizontal="center"/>
      <protection locked="0"/>
    </xf>
    <xf numFmtId="0" fontId="2" fillId="0" borderId="205" xfId="208" applyFont="1" applyBorder="1" applyAlignment="1" applyProtection="1">
      <alignment horizontal="center"/>
      <protection locked="0"/>
    </xf>
    <xf numFmtId="0" fontId="2" fillId="0" borderId="52" xfId="208" applyFont="1" applyBorder="1" applyAlignment="1" applyProtection="1">
      <alignment horizontal="center" vertical="center"/>
      <protection locked="0"/>
    </xf>
    <xf numFmtId="0" fontId="2" fillId="0" borderId="55" xfId="208" applyFont="1" applyBorder="1" applyAlignment="1" applyProtection="1">
      <alignment horizontal="center" vertical="center"/>
      <protection locked="0"/>
    </xf>
    <xf numFmtId="0" fontId="2" fillId="0" borderId="72" xfId="208" applyFont="1" applyBorder="1" applyAlignment="1" applyProtection="1">
      <alignment horizontal="left" vertical="center"/>
    </xf>
    <xf numFmtId="0" fontId="2" fillId="0" borderId="19" xfId="208" applyFont="1" applyBorder="1" applyAlignment="1" applyProtection="1">
      <alignment horizontal="left" vertical="center"/>
    </xf>
    <xf numFmtId="0" fontId="2" fillId="38" borderId="15" xfId="208" applyFont="1" applyFill="1" applyBorder="1" applyAlignment="1" applyProtection="1">
      <alignment horizontal="left"/>
    </xf>
    <xf numFmtId="0" fontId="2" fillId="38" borderId="16" xfId="208" applyFont="1" applyFill="1" applyBorder="1" applyAlignment="1" applyProtection="1">
      <alignment horizontal="left"/>
    </xf>
    <xf numFmtId="168" fontId="2" fillId="26" borderId="0" xfId="208" applyNumberFormat="1" applyFont="1" applyFill="1" applyBorder="1" applyAlignment="1" applyProtection="1">
      <alignment horizontal="left" vertical="center"/>
      <protection locked="0"/>
    </xf>
    <xf numFmtId="168" fontId="2" fillId="26" borderId="18" xfId="208" applyNumberFormat="1" applyFont="1" applyFill="1" applyBorder="1" applyAlignment="1" applyProtection="1">
      <alignment horizontal="left" vertical="center"/>
      <protection locked="0"/>
    </xf>
    <xf numFmtId="0" fontId="4" fillId="2" borderId="171" xfId="208" applyFont="1" applyFill="1" applyBorder="1" applyAlignment="1" applyProtection="1">
      <alignment horizontal="center" vertical="center"/>
      <protection locked="0"/>
    </xf>
    <xf numFmtId="0" fontId="4" fillId="2" borderId="145" xfId="208" applyFont="1" applyFill="1" applyBorder="1" applyAlignment="1" applyProtection="1">
      <alignment horizontal="center" vertical="center"/>
      <protection locked="0"/>
    </xf>
    <xf numFmtId="0" fontId="4" fillId="2" borderId="146" xfId="208" applyFont="1" applyFill="1" applyBorder="1" applyAlignment="1" applyProtection="1">
      <alignment horizontal="center" vertical="center"/>
      <protection locked="0"/>
    </xf>
    <xf numFmtId="0" fontId="4" fillId="2" borderId="10" xfId="208" applyFont="1" applyFill="1" applyBorder="1" applyAlignment="1" applyProtection="1">
      <alignment horizontal="center" vertical="center"/>
      <protection locked="0"/>
    </xf>
    <xf numFmtId="167" fontId="4" fillId="2" borderId="9" xfId="208" applyNumberFormat="1" applyFont="1" applyFill="1" applyBorder="1" applyAlignment="1" applyProtection="1">
      <alignment horizontal="center" vertical="center"/>
      <protection locked="0"/>
    </xf>
    <xf numFmtId="167" fontId="4" fillId="2" borderId="56" xfId="208" applyNumberFormat="1" applyFont="1" applyFill="1" applyBorder="1" applyAlignment="1" applyProtection="1">
      <alignment horizontal="center" vertical="center"/>
      <protection locked="0"/>
    </xf>
    <xf numFmtId="167" fontId="4" fillId="0" borderId="13" xfId="208" applyNumberFormat="1" applyFont="1" applyBorder="1" applyAlignment="1" applyProtection="1">
      <alignment horizontal="center" vertical="center"/>
      <protection locked="0"/>
    </xf>
    <xf numFmtId="167" fontId="4" fillId="0" borderId="12" xfId="208" applyNumberFormat="1" applyFont="1" applyBorder="1" applyAlignment="1" applyProtection="1">
      <alignment horizontal="center" vertical="center"/>
      <protection locked="0"/>
    </xf>
    <xf numFmtId="167" fontId="4" fillId="0" borderId="17" xfId="208" applyNumberFormat="1" applyFont="1" applyBorder="1" applyAlignment="1" applyProtection="1">
      <alignment horizontal="center" vertical="center"/>
      <protection locked="0"/>
    </xf>
    <xf numFmtId="0" fontId="45" fillId="25" borderId="123" xfId="68" applyFont="1" applyFill="1" applyBorder="1" applyAlignment="1" applyProtection="1">
      <alignment horizontal="center" vertical="center"/>
    </xf>
    <xf numFmtId="0" fontId="45" fillId="25" borderId="124" xfId="68" applyFont="1" applyFill="1" applyBorder="1" applyAlignment="1" applyProtection="1">
      <alignment horizontal="center" vertical="center"/>
    </xf>
    <xf numFmtId="0" fontId="1" fillId="0" borderId="10" xfId="208" applyFont="1" applyBorder="1" applyAlignment="1" applyProtection="1">
      <alignment horizontal="center" vertical="center"/>
    </xf>
    <xf numFmtId="0" fontId="1" fillId="0" borderId="9" xfId="208" applyFont="1" applyBorder="1" applyAlignment="1" applyProtection="1">
      <alignment horizontal="center" vertical="center"/>
    </xf>
    <xf numFmtId="0" fontId="4" fillId="25" borderId="80" xfId="71" applyFont="1" applyFill="1" applyBorder="1" applyAlignment="1" applyProtection="1">
      <alignment horizontal="center" vertical="center"/>
    </xf>
    <xf numFmtId="0" fontId="4" fillId="25" borderId="12" xfId="71" applyFont="1" applyFill="1" applyBorder="1" applyAlignment="1" applyProtection="1">
      <alignment horizontal="center" vertical="center"/>
    </xf>
    <xf numFmtId="0" fontId="4" fillId="25" borderId="76" xfId="71" applyFont="1" applyFill="1" applyBorder="1" applyAlignment="1" applyProtection="1">
      <alignment horizontal="center" vertical="center"/>
    </xf>
    <xf numFmtId="0" fontId="5" fillId="2" borderId="11" xfId="208" applyFont="1" applyFill="1" applyBorder="1" applyAlignment="1" applyProtection="1">
      <alignment horizontal="left" vertical="center" wrapText="1"/>
    </xf>
    <xf numFmtId="0" fontId="4" fillId="2" borderId="10" xfId="208" applyFont="1" applyFill="1" applyBorder="1" applyAlignment="1" applyProtection="1">
      <alignment horizontal="left" vertical="center" wrapText="1"/>
    </xf>
    <xf numFmtId="0" fontId="4" fillId="2" borderId="19" xfId="208" applyFont="1" applyFill="1" applyBorder="1" applyAlignment="1" applyProtection="1">
      <alignment horizontal="center" vertical="center"/>
      <protection locked="0"/>
    </xf>
    <xf numFmtId="0" fontId="4" fillId="2" borderId="0" xfId="208" applyFont="1" applyFill="1" applyBorder="1" applyAlignment="1" applyProtection="1">
      <alignment horizontal="center" vertical="center"/>
      <protection locked="0"/>
    </xf>
    <xf numFmtId="0" fontId="4" fillId="2" borderId="18" xfId="208" applyFont="1" applyFill="1" applyBorder="1" applyAlignment="1" applyProtection="1">
      <alignment horizontal="center" vertical="center"/>
      <protection locked="0"/>
    </xf>
    <xf numFmtId="167" fontId="4" fillId="0" borderId="10" xfId="208" applyNumberFormat="1" applyFont="1" applyBorder="1" applyAlignment="1" applyProtection="1">
      <alignment horizontal="center" vertical="center"/>
    </xf>
    <xf numFmtId="167" fontId="4" fillId="0" borderId="9" xfId="208" applyNumberFormat="1" applyFont="1" applyBorder="1" applyAlignment="1" applyProtection="1">
      <alignment horizontal="center" vertical="center"/>
    </xf>
    <xf numFmtId="0" fontId="5" fillId="26" borderId="13" xfId="71" applyFont="1" applyFill="1" applyBorder="1" applyAlignment="1" applyProtection="1">
      <alignment horizontal="center" vertical="top" wrapText="1"/>
    </xf>
    <xf numFmtId="0" fontId="5" fillId="26" borderId="12" xfId="71" applyFont="1" applyFill="1" applyBorder="1" applyAlignment="1" applyProtection="1">
      <alignment horizontal="center" vertical="top" wrapText="1"/>
    </xf>
    <xf numFmtId="0" fontId="4" fillId="26" borderId="12" xfId="71" applyFont="1" applyFill="1" applyBorder="1" applyAlignment="1" applyProtection="1">
      <alignment horizontal="center" vertical="top" wrapText="1"/>
      <protection locked="0"/>
    </xf>
    <xf numFmtId="0" fontId="4" fillId="26" borderId="17" xfId="71" applyFont="1" applyFill="1" applyBorder="1" applyAlignment="1" applyProtection="1">
      <alignment horizontal="center" vertical="top" wrapText="1"/>
      <protection locked="0"/>
    </xf>
    <xf numFmtId="0" fontId="5" fillId="25" borderId="13" xfId="208" applyFont="1" applyFill="1" applyBorder="1" applyAlignment="1" applyProtection="1">
      <alignment horizontal="center" vertical="center" wrapText="1"/>
    </xf>
    <xf numFmtId="0" fontId="5" fillId="25" borderId="12" xfId="208" applyFont="1" applyFill="1" applyBorder="1" applyAlignment="1" applyProtection="1">
      <alignment horizontal="center" vertical="center" wrapText="1"/>
    </xf>
    <xf numFmtId="0" fontId="5" fillId="25" borderId="17" xfId="208" applyFont="1" applyFill="1" applyBorder="1" applyAlignment="1" applyProtection="1">
      <alignment horizontal="center" vertical="center" wrapText="1"/>
    </xf>
    <xf numFmtId="0" fontId="5" fillId="25" borderId="0" xfId="208" applyFont="1" applyFill="1" applyBorder="1" applyAlignment="1" applyProtection="1">
      <alignment horizontal="center" vertical="center" wrapText="1"/>
    </xf>
    <xf numFmtId="0" fontId="5" fillId="25" borderId="18" xfId="208" applyFont="1" applyFill="1" applyBorder="1" applyAlignment="1" applyProtection="1">
      <alignment horizontal="center" vertical="center" wrapText="1"/>
    </xf>
    <xf numFmtId="0" fontId="5" fillId="25" borderId="16" xfId="208" applyFont="1" applyFill="1" applyBorder="1" applyAlignment="1" applyProtection="1">
      <alignment horizontal="center" vertical="center" wrapText="1"/>
    </xf>
    <xf numFmtId="0" fontId="5" fillId="25" borderId="14" xfId="208" applyFont="1" applyFill="1" applyBorder="1" applyAlignment="1" applyProtection="1">
      <alignment horizontal="center" vertical="center" wrapText="1"/>
    </xf>
    <xf numFmtId="0" fontId="4" fillId="0" borderId="0" xfId="208" applyFont="1" applyBorder="1" applyAlignment="1" applyProtection="1">
      <alignment horizontal="center" vertical="center"/>
    </xf>
    <xf numFmtId="2" fontId="5" fillId="0" borderId="68" xfId="208" applyNumberFormat="1" applyFont="1" applyBorder="1" applyAlignment="1" applyProtection="1">
      <alignment horizontal="center" vertical="center"/>
    </xf>
    <xf numFmtId="2" fontId="5" fillId="0" borderId="64" xfId="208" applyNumberFormat="1" applyFont="1" applyBorder="1" applyAlignment="1" applyProtection="1">
      <alignment horizontal="center" vertical="center"/>
    </xf>
    <xf numFmtId="2" fontId="5" fillId="0" borderId="69" xfId="208" applyNumberFormat="1" applyFont="1" applyBorder="1" applyAlignment="1" applyProtection="1">
      <alignment horizontal="center" vertical="center"/>
    </xf>
    <xf numFmtId="2" fontId="5" fillId="0" borderId="70" xfId="208" applyNumberFormat="1" applyFont="1" applyBorder="1" applyAlignment="1" applyProtection="1">
      <alignment horizontal="center" vertical="center"/>
    </xf>
    <xf numFmtId="2" fontId="5" fillId="0" borderId="52" xfId="208" applyNumberFormat="1" applyFont="1" applyBorder="1" applyAlignment="1" applyProtection="1">
      <alignment horizontal="center" vertical="center"/>
    </xf>
    <xf numFmtId="2" fontId="5" fillId="0" borderId="71" xfId="208" applyNumberFormat="1" applyFont="1" applyBorder="1" applyAlignment="1" applyProtection="1">
      <alignment horizontal="center" vertical="center"/>
    </xf>
    <xf numFmtId="0" fontId="4" fillId="0" borderId="36" xfId="71" applyFont="1" applyFill="1" applyBorder="1" applyAlignment="1" applyProtection="1">
      <alignment horizontal="center" vertical="center"/>
      <protection locked="0"/>
    </xf>
    <xf numFmtId="0" fontId="4" fillId="0" borderId="0" xfId="71" applyFont="1" applyFill="1" applyBorder="1" applyAlignment="1" applyProtection="1">
      <alignment horizontal="center" vertical="center"/>
      <protection locked="0"/>
    </xf>
    <xf numFmtId="0" fontId="4" fillId="0" borderId="37" xfId="71" applyFont="1" applyFill="1" applyBorder="1" applyAlignment="1" applyProtection="1">
      <alignment horizontal="center" vertical="center"/>
      <protection locked="0"/>
    </xf>
    <xf numFmtId="0" fontId="4" fillId="0" borderId="46" xfId="71" applyFont="1" applyFill="1" applyBorder="1" applyAlignment="1" applyProtection="1">
      <alignment horizontal="center" vertical="center"/>
    </xf>
    <xf numFmtId="0" fontId="4" fillId="0" borderId="45" xfId="71" applyFont="1" applyFill="1" applyBorder="1" applyAlignment="1" applyProtection="1">
      <alignment horizontal="center" vertical="center"/>
    </xf>
    <xf numFmtId="0" fontId="4" fillId="0" borderId="47" xfId="71" applyFont="1" applyFill="1" applyBorder="1" applyAlignment="1" applyProtection="1">
      <alignment horizontal="center" vertical="center"/>
    </xf>
    <xf numFmtId="0" fontId="1" fillId="0" borderId="36" xfId="71" applyFont="1" applyFill="1" applyBorder="1" applyAlignment="1" applyProtection="1">
      <alignment horizontal="center"/>
    </xf>
    <xf numFmtId="0" fontId="1" fillId="0" borderId="0" xfId="71" applyFont="1" applyFill="1" applyBorder="1" applyAlignment="1" applyProtection="1">
      <alignment horizontal="center"/>
    </xf>
    <xf numFmtId="0" fontId="1" fillId="0" borderId="37" xfId="71" applyFont="1" applyFill="1" applyBorder="1" applyAlignment="1" applyProtection="1">
      <alignment horizontal="center"/>
    </xf>
    <xf numFmtId="0" fontId="5" fillId="25" borderId="36" xfId="68" applyFont="1" applyFill="1" applyBorder="1" applyAlignment="1" applyProtection="1">
      <alignment horizontal="left" indent="1"/>
    </xf>
    <xf numFmtId="0" fontId="5" fillId="25" borderId="0" xfId="68" applyFont="1" applyFill="1" applyBorder="1" applyAlignment="1" applyProtection="1">
      <alignment horizontal="left" indent="1"/>
    </xf>
    <xf numFmtId="0" fontId="5" fillId="25" borderId="37" xfId="68" applyFont="1" applyFill="1" applyBorder="1" applyAlignment="1" applyProtection="1">
      <alignment horizontal="left" indent="1"/>
    </xf>
    <xf numFmtId="0" fontId="5" fillId="25" borderId="36" xfId="68" applyFont="1" applyFill="1" applyBorder="1" applyAlignment="1" applyProtection="1">
      <alignment horizontal="left" vertical="center" indent="1"/>
    </xf>
    <xf numFmtId="0" fontId="5" fillId="25" borderId="0" xfId="68" applyFont="1" applyFill="1" applyBorder="1" applyAlignment="1" applyProtection="1">
      <alignment horizontal="left" vertical="center" indent="1"/>
    </xf>
    <xf numFmtId="0" fontId="5" fillId="25" borderId="37" xfId="68" applyFont="1" applyFill="1" applyBorder="1" applyAlignment="1" applyProtection="1">
      <alignment horizontal="left" vertical="center" indent="1"/>
    </xf>
    <xf numFmtId="0" fontId="5" fillId="25" borderId="46" xfId="68" applyFont="1" applyFill="1" applyBorder="1" applyAlignment="1" applyProtection="1">
      <alignment horizontal="left" vertical="center" indent="1"/>
    </xf>
    <xf numFmtId="0" fontId="5" fillId="25" borderId="45" xfId="68" applyFont="1" applyFill="1" applyBorder="1" applyAlignment="1" applyProtection="1">
      <alignment horizontal="left" vertical="center" indent="1"/>
    </xf>
    <xf numFmtId="0" fontId="5" fillId="25" borderId="47" xfId="68" applyFont="1" applyFill="1" applyBorder="1" applyAlignment="1" applyProtection="1">
      <alignment horizontal="left" vertical="center" indent="1"/>
    </xf>
    <xf numFmtId="0" fontId="5" fillId="0" borderId="0" xfId="208" applyFont="1" applyBorder="1" applyAlignment="1" applyProtection="1">
      <alignment horizontal="center" vertical="center"/>
    </xf>
    <xf numFmtId="0" fontId="4" fillId="0" borderId="12" xfId="208" applyFont="1" applyBorder="1" applyAlignment="1" applyProtection="1">
      <alignment horizontal="center" vertical="center"/>
    </xf>
    <xf numFmtId="2" fontId="5" fillId="0" borderId="0" xfId="208" applyNumberFormat="1" applyFont="1" applyFill="1" applyBorder="1" applyAlignment="1" applyProtection="1">
      <alignment horizontal="center" vertical="center"/>
    </xf>
    <xf numFmtId="0" fontId="69" fillId="0" borderId="0" xfId="208" applyFont="1" applyBorder="1" applyAlignment="1" applyProtection="1">
      <alignment horizontal="center" vertical="center" wrapText="1"/>
    </xf>
    <xf numFmtId="0" fontId="5" fillId="25" borderId="15" xfId="208" applyFont="1" applyFill="1" applyBorder="1" applyAlignment="1" applyProtection="1">
      <alignment horizontal="center" vertical="center"/>
    </xf>
    <xf numFmtId="0" fontId="5" fillId="25" borderId="16" xfId="208" applyFont="1" applyFill="1" applyBorder="1" applyAlignment="1" applyProtection="1">
      <alignment horizontal="center" vertical="center"/>
    </xf>
    <xf numFmtId="0" fontId="5" fillId="25" borderId="14" xfId="208" applyFont="1" applyFill="1" applyBorder="1" applyAlignment="1" applyProtection="1">
      <alignment horizontal="center" vertical="center"/>
    </xf>
    <xf numFmtId="0" fontId="4" fillId="0" borderId="13" xfId="208" applyFont="1" applyBorder="1" applyAlignment="1" applyProtection="1">
      <alignment horizontal="left" vertical="center"/>
    </xf>
    <xf numFmtId="0" fontId="4" fillId="0" borderId="12" xfId="208" applyFont="1" applyBorder="1" applyAlignment="1" applyProtection="1">
      <alignment horizontal="left" vertical="center"/>
    </xf>
    <xf numFmtId="167" fontId="4" fillId="0" borderId="52" xfId="208" applyNumberFormat="1" applyFont="1" applyBorder="1" applyAlignment="1" applyProtection="1">
      <alignment horizontal="center" vertical="center"/>
      <protection locked="0"/>
    </xf>
    <xf numFmtId="0" fontId="4" fillId="0" borderId="19" xfId="208" applyFont="1" applyBorder="1" applyAlignment="1" applyProtection="1">
      <alignment horizontal="left" vertical="center"/>
    </xf>
    <xf numFmtId="0" fontId="4" fillId="0" borderId="0" xfId="208" applyFont="1" applyBorder="1" applyAlignment="1" applyProtection="1">
      <alignment horizontal="left" vertical="center"/>
    </xf>
    <xf numFmtId="0" fontId="4" fillId="2" borderId="9" xfId="208" applyFont="1" applyFill="1" applyBorder="1" applyAlignment="1" applyProtection="1">
      <alignment horizontal="center" vertical="center"/>
      <protection locked="0"/>
    </xf>
    <xf numFmtId="0" fontId="4" fillId="2" borderId="56" xfId="208" applyFont="1" applyFill="1" applyBorder="1" applyAlignment="1" applyProtection="1">
      <alignment horizontal="center" vertical="center"/>
      <protection locked="0"/>
    </xf>
    <xf numFmtId="0" fontId="5" fillId="2" borderId="13" xfId="208" applyFont="1" applyFill="1" applyBorder="1" applyAlignment="1" applyProtection="1">
      <alignment horizontal="left" vertical="center" wrapText="1"/>
    </xf>
    <xf numFmtId="0" fontId="4" fillId="2" borderId="12" xfId="208" applyFont="1" applyFill="1" applyBorder="1" applyAlignment="1" applyProtection="1">
      <alignment horizontal="left" vertical="center" wrapText="1"/>
    </xf>
    <xf numFmtId="0" fontId="4" fillId="2" borderId="15" xfId="208" applyFont="1" applyFill="1" applyBorder="1" applyAlignment="1" applyProtection="1">
      <alignment horizontal="center" vertical="center"/>
      <protection locked="0"/>
    </xf>
    <xf numFmtId="0" fontId="4" fillId="2" borderId="16" xfId="208" applyFont="1" applyFill="1" applyBorder="1" applyAlignment="1" applyProtection="1">
      <alignment horizontal="center" vertical="center"/>
      <protection locked="0"/>
    </xf>
    <xf numFmtId="0" fontId="4" fillId="2" borderId="152" xfId="208" applyFont="1" applyFill="1" applyBorder="1" applyAlignment="1" applyProtection="1">
      <alignment horizontal="center" vertical="center"/>
      <protection locked="0"/>
    </xf>
    <xf numFmtId="0" fontId="4" fillId="2" borderId="127" xfId="208" applyFont="1" applyFill="1" applyBorder="1" applyAlignment="1" applyProtection="1">
      <alignment horizontal="center" vertical="center"/>
      <protection locked="0"/>
    </xf>
    <xf numFmtId="0" fontId="4" fillId="2" borderId="126" xfId="208" applyFont="1" applyFill="1" applyBorder="1" applyAlignment="1" applyProtection="1">
      <alignment horizontal="center" vertical="center"/>
      <protection locked="0"/>
    </xf>
    <xf numFmtId="0" fontId="4" fillId="2" borderId="128" xfId="208" applyFont="1" applyFill="1" applyBorder="1" applyAlignment="1" applyProtection="1">
      <alignment horizontal="center" vertical="center"/>
      <protection locked="0"/>
    </xf>
    <xf numFmtId="0" fontId="4" fillId="2" borderId="144" xfId="208" applyFont="1" applyFill="1" applyBorder="1" applyAlignment="1" applyProtection="1">
      <alignment horizontal="center" vertical="center"/>
      <protection locked="0"/>
    </xf>
    <xf numFmtId="0" fontId="4" fillId="2" borderId="147" xfId="208" applyFont="1" applyFill="1" applyBorder="1" applyAlignment="1" applyProtection="1">
      <alignment horizontal="center" vertical="center"/>
      <protection locked="0"/>
    </xf>
    <xf numFmtId="0" fontId="126" fillId="0" borderId="15" xfId="211" applyFont="1" applyBorder="1" applyAlignment="1" applyProtection="1">
      <alignment horizontal="center"/>
      <protection locked="0"/>
    </xf>
    <xf numFmtId="0" fontId="126" fillId="0" borderId="16" xfId="211" applyFont="1" applyBorder="1" applyAlignment="1" applyProtection="1">
      <alignment horizontal="center"/>
      <protection locked="0"/>
    </xf>
    <xf numFmtId="0" fontId="126" fillId="0" borderId="14" xfId="211" applyFont="1" applyBorder="1" applyAlignment="1" applyProtection="1">
      <alignment horizontal="center"/>
      <protection locked="0"/>
    </xf>
    <xf numFmtId="0" fontId="5" fillId="25" borderId="19" xfId="208" applyFont="1" applyFill="1" applyBorder="1" applyAlignment="1" applyProtection="1">
      <alignment horizontal="center" vertical="center" wrapText="1"/>
    </xf>
    <xf numFmtId="0" fontId="5" fillId="25" borderId="15" xfId="208" applyFont="1" applyFill="1" applyBorder="1" applyAlignment="1" applyProtection="1">
      <alignment horizontal="center" vertical="center" wrapText="1"/>
    </xf>
    <xf numFmtId="0" fontId="1" fillId="0" borderId="12" xfId="208" applyFont="1" applyBorder="1" applyAlignment="1" applyProtection="1">
      <alignment horizontal="center" vertical="center"/>
    </xf>
    <xf numFmtId="0" fontId="1" fillId="0" borderId="17" xfId="208" applyFont="1" applyBorder="1" applyAlignment="1" applyProtection="1">
      <alignment horizontal="center" vertical="center"/>
    </xf>
    <xf numFmtId="0" fontId="69" fillId="0" borderId="0" xfId="208" applyFont="1" applyFill="1" applyBorder="1" applyAlignment="1" applyProtection="1">
      <alignment horizontal="right" vertical="center"/>
    </xf>
    <xf numFmtId="0" fontId="2" fillId="26" borderId="0" xfId="208" applyFont="1" applyFill="1" applyBorder="1" applyAlignment="1" applyProtection="1">
      <alignment horizontal="left"/>
    </xf>
    <xf numFmtId="0" fontId="2" fillId="0" borderId="39" xfId="208" applyFont="1" applyBorder="1" applyAlignment="1" applyProtection="1">
      <alignment horizontal="left"/>
    </xf>
    <xf numFmtId="0" fontId="43" fillId="0" borderId="16" xfId="208" applyFont="1" applyBorder="1" applyAlignment="1" applyProtection="1">
      <alignment vertical="center"/>
    </xf>
    <xf numFmtId="168" fontId="2" fillId="26" borderId="16" xfId="208" applyNumberFormat="1" applyFont="1" applyFill="1" applyBorder="1" applyAlignment="1" applyProtection="1">
      <alignment horizontal="left" vertical="center"/>
    </xf>
    <xf numFmtId="168" fontId="2" fillId="26" borderId="14" xfId="208" applyNumberFormat="1" applyFont="1" applyFill="1" applyBorder="1" applyAlignment="1" applyProtection="1">
      <alignment horizontal="left" vertical="center"/>
    </xf>
    <xf numFmtId="0" fontId="2" fillId="26" borderId="0" xfId="208" applyFont="1" applyFill="1" applyBorder="1" applyAlignment="1" applyProtection="1">
      <alignment horizontal="left" vertical="center"/>
    </xf>
    <xf numFmtId="0" fontId="1" fillId="2" borderId="13" xfId="208" applyFont="1" applyFill="1" applyBorder="1" applyAlignment="1" applyProtection="1">
      <alignment horizontal="center"/>
    </xf>
    <xf numFmtId="0" fontId="1" fillId="2" borderId="12" xfId="208" applyFont="1" applyFill="1" applyBorder="1" applyAlignment="1" applyProtection="1">
      <alignment horizontal="center"/>
    </xf>
    <xf numFmtId="0" fontId="1" fillId="2" borderId="76" xfId="208" applyFont="1" applyFill="1" applyBorder="1" applyAlignment="1" applyProtection="1">
      <alignment horizontal="center"/>
    </xf>
    <xf numFmtId="0" fontId="1" fillId="2" borderId="19" xfId="208" applyFont="1" applyFill="1" applyBorder="1" applyAlignment="1" applyProtection="1">
      <alignment horizontal="center"/>
    </xf>
    <xf numFmtId="0" fontId="1" fillId="2" borderId="0" xfId="208" applyFont="1" applyFill="1" applyBorder="1" applyAlignment="1" applyProtection="1">
      <alignment horizontal="center"/>
    </xf>
    <xf numFmtId="0" fontId="1" fillId="2" borderId="37" xfId="208" applyFont="1" applyFill="1" applyBorder="1" applyAlignment="1" applyProtection="1">
      <alignment horizontal="center"/>
    </xf>
    <xf numFmtId="0" fontId="1" fillId="2" borderId="121" xfId="208" applyFont="1" applyFill="1" applyBorder="1" applyAlignment="1" applyProtection="1">
      <alignment horizontal="center"/>
    </xf>
    <xf numFmtId="0" fontId="1" fillId="2" borderId="39" xfId="208" applyFont="1" applyFill="1" applyBorder="1" applyAlignment="1" applyProtection="1">
      <alignment horizontal="center"/>
    </xf>
    <xf numFmtId="0" fontId="1" fillId="2" borderId="40" xfId="208" applyFont="1" applyFill="1" applyBorder="1" applyAlignment="1" applyProtection="1">
      <alignment horizontal="center"/>
    </xf>
    <xf numFmtId="0" fontId="5" fillId="2" borderId="80" xfId="208" applyFont="1" applyFill="1" applyBorder="1" applyAlignment="1" applyProtection="1">
      <alignment horizontal="center" vertical="center"/>
    </xf>
    <xf numFmtId="0" fontId="5" fillId="2" borderId="12" xfId="208" applyFont="1" applyFill="1" applyBorder="1" applyAlignment="1" applyProtection="1">
      <alignment horizontal="center" vertical="center"/>
    </xf>
    <xf numFmtId="0" fontId="5" fillId="2" borderId="17" xfId="208" applyFont="1" applyFill="1" applyBorder="1" applyAlignment="1" applyProtection="1">
      <alignment horizontal="center" vertical="center"/>
    </xf>
    <xf numFmtId="0" fontId="5" fillId="2" borderId="36" xfId="208" applyFont="1" applyFill="1" applyBorder="1" applyAlignment="1" applyProtection="1">
      <alignment horizontal="center" vertical="center" wrapText="1"/>
    </xf>
    <xf numFmtId="0" fontId="5" fillId="2" borderId="0" xfId="208" applyFont="1" applyFill="1" applyBorder="1" applyAlignment="1" applyProtection="1">
      <alignment horizontal="center" vertical="center" wrapText="1"/>
    </xf>
    <xf numFmtId="0" fontId="5" fillId="2" borderId="18" xfId="208" applyFont="1" applyFill="1" applyBorder="1" applyAlignment="1" applyProtection="1">
      <alignment horizontal="center" vertical="center" wrapText="1"/>
    </xf>
    <xf numFmtId="0" fontId="5" fillId="2" borderId="36" xfId="208" applyFont="1" applyFill="1" applyBorder="1" applyAlignment="1" applyProtection="1">
      <alignment horizontal="center" vertical="center"/>
    </xf>
    <xf numFmtId="0" fontId="5" fillId="2" borderId="0" xfId="208" applyFont="1" applyFill="1" applyBorder="1" applyAlignment="1" applyProtection="1">
      <alignment horizontal="center" vertical="center"/>
    </xf>
    <xf numFmtId="0" fontId="5" fillId="2" borderId="18" xfId="208" applyFont="1" applyFill="1" applyBorder="1" applyAlignment="1" applyProtection="1">
      <alignment horizontal="center" vertical="center"/>
    </xf>
    <xf numFmtId="0" fontId="111" fillId="2" borderId="31" xfId="208" applyFont="1" applyFill="1" applyBorder="1" applyAlignment="1" applyProtection="1">
      <alignment horizontal="left" vertical="center" wrapText="1"/>
    </xf>
    <xf numFmtId="0" fontId="111" fillId="2" borderId="41" xfId="208" applyFont="1" applyFill="1" applyBorder="1" applyAlignment="1" applyProtection="1">
      <alignment horizontal="left" vertical="center" wrapText="1"/>
    </xf>
    <xf numFmtId="0" fontId="111" fillId="2" borderId="42" xfId="208" applyFont="1" applyFill="1" applyBorder="1" applyAlignment="1" applyProtection="1">
      <alignment horizontal="left" vertical="center" wrapText="1"/>
    </xf>
    <xf numFmtId="0" fontId="111" fillId="2" borderId="169" xfId="208" applyFont="1" applyFill="1" applyBorder="1" applyAlignment="1" applyProtection="1">
      <alignment horizontal="left" vertical="center" wrapText="1"/>
    </xf>
    <xf numFmtId="0" fontId="111" fillId="0" borderId="31" xfId="208" applyFont="1" applyBorder="1" applyAlignment="1" applyProtection="1">
      <alignment horizontal="left" vertical="center"/>
    </xf>
    <xf numFmtId="0" fontId="111" fillId="0" borderId="41" xfId="208" applyFont="1" applyBorder="1" applyAlignment="1" applyProtection="1">
      <alignment horizontal="left" vertical="center"/>
    </xf>
    <xf numFmtId="0" fontId="111" fillId="0" borderId="169" xfId="208" applyFont="1" applyBorder="1" applyAlignment="1" applyProtection="1">
      <alignment horizontal="left" vertical="center"/>
    </xf>
    <xf numFmtId="0" fontId="43" fillId="26" borderId="0" xfId="208" applyFont="1" applyFill="1" applyBorder="1" applyAlignment="1" applyProtection="1">
      <alignment horizontal="right"/>
    </xf>
    <xf numFmtId="0" fontId="43" fillId="26" borderId="121" xfId="208" applyFont="1" applyFill="1" applyBorder="1" applyAlignment="1" applyProtection="1">
      <alignment vertical="center"/>
    </xf>
    <xf numFmtId="0" fontId="43" fillId="26" borderId="39" xfId="208" applyFont="1" applyFill="1" applyBorder="1" applyAlignment="1" applyProtection="1">
      <alignment vertical="center"/>
    </xf>
    <xf numFmtId="0" fontId="2" fillId="26" borderId="34" xfId="208" applyFont="1" applyFill="1" applyBorder="1" applyAlignment="1" applyProtection="1">
      <alignment horizontal="left"/>
    </xf>
    <xf numFmtId="168" fontId="2" fillId="26" borderId="0" xfId="208" applyNumberFormat="1" applyFont="1" applyFill="1" applyBorder="1" applyAlignment="1" applyProtection="1">
      <alignment horizontal="left" vertical="center"/>
    </xf>
    <xf numFmtId="168" fontId="2" fillId="26" borderId="18" xfId="208" applyNumberFormat="1" applyFont="1" applyFill="1" applyBorder="1" applyAlignment="1" applyProtection="1">
      <alignment horizontal="left" vertical="center"/>
    </xf>
    <xf numFmtId="0" fontId="1" fillId="0" borderId="13" xfId="71" applyFont="1" applyBorder="1" applyAlignment="1" applyProtection="1">
      <alignment horizontal="center" vertical="center"/>
    </xf>
    <xf numFmtId="0" fontId="1" fillId="0" borderId="17" xfId="71" applyFont="1" applyBorder="1" applyAlignment="1" applyProtection="1">
      <alignment horizontal="center" vertical="center"/>
    </xf>
    <xf numFmtId="0" fontId="1" fillId="0" borderId="19" xfId="71" applyFont="1" applyBorder="1" applyAlignment="1" applyProtection="1">
      <alignment horizontal="center" vertical="center"/>
    </xf>
    <xf numFmtId="0" fontId="1" fillId="0" borderId="18" xfId="71" applyFont="1" applyBorder="1" applyAlignment="1" applyProtection="1">
      <alignment horizontal="center" vertical="center"/>
    </xf>
    <xf numFmtId="0" fontId="1" fillId="0" borderId="15" xfId="71" applyFont="1" applyBorder="1" applyAlignment="1" applyProtection="1">
      <alignment horizontal="center" vertical="center"/>
    </xf>
    <xf numFmtId="0" fontId="1" fillId="0" borderId="14" xfId="71" applyFont="1" applyBorder="1" applyAlignment="1" applyProtection="1">
      <alignment horizontal="center" vertical="center"/>
    </xf>
    <xf numFmtId="0" fontId="2" fillId="26" borderId="12" xfId="68" applyFont="1" applyFill="1" applyBorder="1" applyAlignment="1" applyProtection="1">
      <alignment horizontal="left" vertical="center"/>
    </xf>
    <xf numFmtId="0" fontId="111" fillId="0" borderId="19" xfId="71" applyFont="1" applyBorder="1" applyAlignment="1" applyProtection="1">
      <alignment horizontal="left" vertical="center"/>
    </xf>
    <xf numFmtId="0" fontId="111" fillId="0" borderId="0" xfId="71" applyFont="1" applyBorder="1" applyAlignment="1" applyProtection="1">
      <alignment horizontal="left" vertical="center"/>
    </xf>
    <xf numFmtId="0" fontId="111" fillId="0" borderId="18" xfId="71" applyFont="1" applyBorder="1" applyAlignment="1" applyProtection="1">
      <alignment horizontal="left" vertical="center"/>
    </xf>
    <xf numFmtId="0" fontId="5" fillId="2" borderId="0" xfId="150" applyFont="1" applyFill="1" applyBorder="1" applyAlignment="1" applyProtection="1">
      <alignment horizontal="center" vertical="center" wrapText="1"/>
    </xf>
    <xf numFmtId="0" fontId="2" fillId="26" borderId="39" xfId="71" applyFont="1" applyFill="1" applyBorder="1" applyAlignment="1" applyProtection="1">
      <alignment horizontal="left" vertical="center" wrapText="1"/>
    </xf>
    <xf numFmtId="0" fontId="2" fillId="2" borderId="35" xfId="72" applyFont="1" applyFill="1" applyBorder="1" applyAlignment="1" applyProtection="1">
      <alignment vertical="center"/>
      <protection locked="0"/>
    </xf>
    <xf numFmtId="0" fontId="43" fillId="26" borderId="0" xfId="71" applyFont="1" applyFill="1" applyBorder="1" applyAlignment="1" applyProtection="1">
      <alignment horizontal="left" vertical="center" wrapText="1"/>
    </xf>
    <xf numFmtId="168" fontId="2" fillId="2" borderId="0" xfId="150" applyNumberFormat="1" applyFont="1" applyFill="1" applyBorder="1" applyAlignment="1" applyProtection="1">
      <alignment horizontal="left" vertical="center"/>
    </xf>
    <xf numFmtId="168" fontId="2" fillId="2" borderId="37" xfId="150" applyNumberFormat="1" applyFont="1" applyFill="1" applyBorder="1" applyAlignment="1" applyProtection="1">
      <alignment horizontal="left" vertical="center"/>
    </xf>
    <xf numFmtId="0" fontId="43" fillId="26" borderId="0" xfId="71" applyFont="1" applyFill="1" applyBorder="1" applyAlignment="1" applyProtection="1">
      <alignment horizontal="right" vertical="center" wrapText="1"/>
    </xf>
    <xf numFmtId="0" fontId="5" fillId="26" borderId="19" xfId="68" applyFont="1" applyFill="1" applyBorder="1" applyAlignment="1" applyProtection="1">
      <alignment horizontal="center" vertical="center"/>
    </xf>
    <xf numFmtId="0" fontId="5" fillId="26" borderId="0" xfId="68" applyFont="1" applyFill="1" applyBorder="1" applyAlignment="1" applyProtection="1">
      <alignment horizontal="center" vertical="center"/>
    </xf>
    <xf numFmtId="0" fontId="5" fillId="26" borderId="18" xfId="68" applyFont="1" applyFill="1" applyBorder="1" applyAlignment="1" applyProtection="1">
      <alignment horizontal="center" vertical="center"/>
    </xf>
    <xf numFmtId="0" fontId="5" fillId="25" borderId="13" xfId="68" applyFont="1" applyFill="1" applyBorder="1" applyAlignment="1" applyProtection="1">
      <alignment horizontal="center" vertical="center"/>
    </xf>
    <xf numFmtId="0" fontId="5" fillId="25" borderId="19" xfId="208" applyFont="1" applyFill="1" applyBorder="1" applyAlignment="1" applyProtection="1">
      <alignment horizontal="left" vertical="center" indent="1"/>
    </xf>
    <xf numFmtId="0" fontId="5" fillId="25" borderId="18" xfId="208" applyFont="1" applyFill="1" applyBorder="1" applyAlignment="1" applyProtection="1">
      <alignment horizontal="left" vertical="center" indent="1"/>
    </xf>
    <xf numFmtId="0" fontId="4" fillId="25" borderId="11" xfId="429" applyFont="1" applyFill="1" applyBorder="1" applyAlignment="1" applyProtection="1">
      <alignment horizontal="left" vertical="center"/>
    </xf>
    <xf numFmtId="0" fontId="4" fillId="25" borderId="10" xfId="429" applyFont="1" applyFill="1" applyBorder="1" applyAlignment="1" applyProtection="1">
      <alignment horizontal="left" vertical="center"/>
    </xf>
    <xf numFmtId="0" fontId="4" fillId="25" borderId="11" xfId="429" applyFont="1" applyFill="1" applyBorder="1" applyAlignment="1" applyProtection="1">
      <alignment horizontal="center" vertical="center"/>
    </xf>
    <xf numFmtId="0" fontId="4" fillId="25" borderId="10" xfId="429" applyFont="1" applyFill="1" applyBorder="1" applyAlignment="1" applyProtection="1">
      <alignment horizontal="center" vertical="center"/>
    </xf>
    <xf numFmtId="0" fontId="5" fillId="25" borderId="13" xfId="208" applyFont="1" applyFill="1" applyBorder="1" applyAlignment="1" applyProtection="1">
      <alignment horizontal="center"/>
    </xf>
    <xf numFmtId="0" fontId="5" fillId="25" borderId="17" xfId="208" applyFont="1" applyFill="1" applyBorder="1" applyAlignment="1" applyProtection="1">
      <alignment horizontal="center"/>
    </xf>
    <xf numFmtId="0" fontId="47" fillId="0" borderId="0" xfId="68" applyFont="1" applyBorder="1" applyAlignment="1" applyProtection="1">
      <alignment horizontal="center" vertical="center" wrapText="1"/>
    </xf>
    <xf numFmtId="0" fontId="47" fillId="0" borderId="57" xfId="68" applyFont="1" applyBorder="1" applyAlignment="1" applyProtection="1">
      <alignment horizontal="center" vertical="center" wrapText="1"/>
    </xf>
    <xf numFmtId="0" fontId="69" fillId="26" borderId="59" xfId="68" applyFont="1" applyFill="1" applyBorder="1" applyAlignment="1" applyProtection="1">
      <alignment horizontal="center" vertical="center"/>
    </xf>
    <xf numFmtId="0" fontId="69" fillId="26" borderId="60" xfId="68" applyFont="1" applyFill="1" applyBorder="1" applyAlignment="1" applyProtection="1">
      <alignment horizontal="center" vertical="center"/>
    </xf>
    <xf numFmtId="0" fontId="5" fillId="25" borderId="19" xfId="208" applyFont="1" applyFill="1" applyBorder="1" applyAlignment="1" applyProtection="1">
      <alignment horizontal="left" indent="1"/>
    </xf>
    <xf numFmtId="0" fontId="5" fillId="25" borderId="18" xfId="208" applyFont="1" applyFill="1" applyBorder="1" applyAlignment="1" applyProtection="1">
      <alignment horizontal="left" indent="1"/>
    </xf>
    <xf numFmtId="0" fontId="5" fillId="25" borderId="58" xfId="208" applyFont="1" applyFill="1" applyBorder="1" applyAlignment="1" applyProtection="1">
      <alignment horizontal="left" indent="1"/>
    </xf>
    <xf numFmtId="0" fontId="5" fillId="25" borderId="60" xfId="208" applyFont="1" applyFill="1" applyBorder="1" applyAlignment="1" applyProtection="1">
      <alignment horizontal="left" indent="1"/>
    </xf>
    <xf numFmtId="0" fontId="69" fillId="26" borderId="58" xfId="68" applyFont="1" applyFill="1" applyBorder="1" applyAlignment="1" applyProtection="1">
      <alignment horizontal="center" vertical="center"/>
    </xf>
    <xf numFmtId="0" fontId="4" fillId="26" borderId="19" xfId="68" quotePrefix="1" applyFont="1" applyFill="1" applyBorder="1" applyAlignment="1" applyProtection="1">
      <alignment horizontal="center" vertical="center"/>
      <protection locked="0"/>
    </xf>
    <xf numFmtId="0" fontId="45" fillId="26" borderId="45" xfId="208" applyFont="1" applyFill="1" applyBorder="1" applyAlignment="1" applyProtection="1">
      <alignment horizontal="center" vertical="center"/>
    </xf>
    <xf numFmtId="0" fontId="83" fillId="0" borderId="56" xfId="429" applyFont="1" applyBorder="1" applyAlignment="1" applyProtection="1">
      <alignment horizontal="left" vertical="center"/>
    </xf>
    <xf numFmtId="168" fontId="2" fillId="2" borderId="0" xfId="150" applyNumberFormat="1" applyFont="1" applyFill="1" applyBorder="1" applyAlignment="1" applyProtection="1">
      <alignment horizontal="left" vertical="center"/>
      <protection locked="0"/>
    </xf>
    <xf numFmtId="168" fontId="2" fillId="2" borderId="37" xfId="150" applyNumberFormat="1" applyFont="1" applyFill="1" applyBorder="1" applyAlignment="1" applyProtection="1">
      <alignment horizontal="left" vertical="center"/>
      <protection locked="0"/>
    </xf>
    <xf numFmtId="0" fontId="4" fillId="25" borderId="11" xfId="429" applyFont="1" applyFill="1" applyBorder="1" applyAlignment="1" applyProtection="1">
      <alignment horizontal="left" vertical="center" wrapText="1" indent="2"/>
    </xf>
    <xf numFmtId="0" fontId="4" fillId="25" borderId="10" xfId="429" applyFont="1" applyFill="1" applyBorder="1" applyAlignment="1" applyProtection="1">
      <alignment horizontal="left" vertical="center" wrapText="1" indent="2"/>
    </xf>
    <xf numFmtId="0" fontId="119" fillId="0" borderId="11" xfId="429" applyFont="1" applyBorder="1" applyAlignment="1" applyProtection="1">
      <alignment vertical="center"/>
    </xf>
    <xf numFmtId="0" fontId="119" fillId="0" borderId="10" xfId="429" applyFont="1" applyBorder="1" applyAlignment="1" applyProtection="1">
      <alignment vertical="center"/>
    </xf>
    <xf numFmtId="0" fontId="119" fillId="0" borderId="9" xfId="429" applyFont="1" applyBorder="1" applyAlignment="1" applyProtection="1">
      <alignment vertical="center"/>
    </xf>
    <xf numFmtId="0" fontId="1" fillId="0" borderId="0" xfId="429" applyFont="1" applyBorder="1" applyAlignment="1" applyProtection="1">
      <alignment horizontal="center" vertical="center"/>
      <protection locked="0"/>
    </xf>
    <xf numFmtId="0" fontId="1" fillId="0" borderId="0" xfId="428" applyFont="1" applyBorder="1" applyAlignment="1" applyProtection="1">
      <alignment horizontal="center" vertical="center"/>
      <protection locked="0"/>
    </xf>
    <xf numFmtId="0" fontId="125" fillId="0" borderId="11" xfId="429" applyFont="1" applyBorder="1" applyAlignment="1" applyProtection="1">
      <alignment horizontal="center" vertical="center"/>
    </xf>
    <xf numFmtId="0" fontId="125" fillId="0" borderId="10" xfId="429" applyFont="1" applyBorder="1" applyAlignment="1" applyProtection="1">
      <alignment horizontal="center" vertical="center"/>
    </xf>
    <xf numFmtId="0" fontId="125" fillId="0" borderId="9" xfId="429" applyFont="1" applyBorder="1" applyAlignment="1" applyProtection="1">
      <alignment horizontal="center" vertical="center"/>
    </xf>
    <xf numFmtId="0" fontId="119" fillId="0" borderId="56" xfId="429" applyFont="1" applyBorder="1" applyAlignment="1" applyProtection="1">
      <alignment vertical="center"/>
    </xf>
    <xf numFmtId="0" fontId="119" fillId="0" borderId="11" xfId="429" applyFont="1" applyBorder="1" applyAlignment="1" applyProtection="1">
      <alignment horizontal="left" vertical="center"/>
    </xf>
    <xf numFmtId="0" fontId="119" fillId="0" borderId="10" xfId="429" applyFont="1" applyBorder="1" applyAlignment="1" applyProtection="1">
      <alignment horizontal="left" vertical="center"/>
    </xf>
    <xf numFmtId="0" fontId="119" fillId="0" borderId="9" xfId="429" applyFont="1" applyBorder="1" applyAlignment="1" applyProtection="1">
      <alignment horizontal="left" vertical="center"/>
    </xf>
    <xf numFmtId="0" fontId="83" fillId="0" borderId="11" xfId="429" applyFont="1" applyBorder="1" applyAlignment="1" applyProtection="1">
      <alignment horizontal="left" vertical="center"/>
    </xf>
    <xf numFmtId="0" fontId="83" fillId="0" borderId="10" xfId="429" applyFont="1" applyBorder="1" applyAlignment="1" applyProtection="1">
      <alignment horizontal="left" vertical="center"/>
    </xf>
    <xf numFmtId="0" fontId="83" fillId="0" borderId="9" xfId="429" applyFont="1" applyBorder="1" applyAlignment="1" applyProtection="1">
      <alignment horizontal="left" vertical="center"/>
    </xf>
    <xf numFmtId="173" fontId="5" fillId="0" borderId="0" xfId="429" applyNumberFormat="1" applyFont="1" applyFill="1" applyBorder="1" applyAlignment="1" applyProtection="1">
      <alignment horizontal="center" vertical="center"/>
    </xf>
    <xf numFmtId="173" fontId="5" fillId="0" borderId="37" xfId="429" applyNumberFormat="1" applyFont="1" applyFill="1" applyBorder="1" applyAlignment="1" applyProtection="1">
      <alignment horizontal="center" vertical="center"/>
    </xf>
    <xf numFmtId="0" fontId="4" fillId="25" borderId="11" xfId="429" applyFont="1" applyFill="1" applyBorder="1" applyAlignment="1" applyProtection="1">
      <alignment vertical="center" wrapText="1"/>
    </xf>
    <xf numFmtId="0" fontId="4" fillId="25" borderId="10" xfId="429" applyFont="1" applyFill="1" applyBorder="1" applyAlignment="1" applyProtection="1">
      <alignment vertical="center"/>
    </xf>
    <xf numFmtId="0" fontId="1" fillId="0" borderId="15" xfId="71" applyFont="1" applyFill="1" applyBorder="1" applyAlignment="1" applyProtection="1">
      <alignment horizontal="center" vertical="center" wrapText="1"/>
      <protection locked="0"/>
    </xf>
    <xf numFmtId="0" fontId="1" fillId="0" borderId="16" xfId="71" applyFont="1" applyFill="1" applyBorder="1" applyAlignment="1" applyProtection="1">
      <alignment horizontal="center" vertical="center" wrapText="1"/>
      <protection locked="0"/>
    </xf>
    <xf numFmtId="0" fontId="1" fillId="0" borderId="14" xfId="71" applyFont="1" applyFill="1" applyBorder="1" applyAlignment="1" applyProtection="1">
      <alignment horizontal="center" vertical="center" wrapText="1"/>
      <protection locked="0"/>
    </xf>
    <xf numFmtId="0" fontId="49" fillId="0" borderId="19" xfId="211" applyFont="1" applyBorder="1" applyAlignment="1" applyProtection="1">
      <alignment horizontal="center"/>
      <protection locked="0"/>
    </xf>
    <xf numFmtId="0" fontId="49" fillId="0" borderId="0" xfId="211" applyFont="1" applyBorder="1" applyAlignment="1" applyProtection="1">
      <alignment horizontal="center"/>
      <protection locked="0"/>
    </xf>
    <xf numFmtId="0" fontId="49" fillId="0" borderId="18" xfId="211" applyFont="1" applyBorder="1" applyAlignment="1" applyProtection="1">
      <alignment horizontal="center"/>
      <protection locked="0"/>
    </xf>
    <xf numFmtId="0" fontId="4" fillId="25" borderId="11" xfId="429" applyFont="1" applyFill="1" applyBorder="1" applyAlignment="1" applyProtection="1">
      <alignment horizontal="center" vertical="center" wrapText="1"/>
    </xf>
    <xf numFmtId="0" fontId="4" fillId="25" borderId="10" xfId="429" applyFont="1" applyFill="1" applyBorder="1" applyAlignment="1" applyProtection="1">
      <alignment horizontal="center" vertical="center" wrapText="1"/>
    </xf>
    <xf numFmtId="0" fontId="1" fillId="26" borderId="34" xfId="71" applyFont="1" applyFill="1" applyBorder="1" applyAlignment="1" applyProtection="1">
      <alignment horizontal="center" vertical="top" wrapText="1"/>
      <protection locked="0"/>
    </xf>
    <xf numFmtId="0" fontId="1" fillId="26" borderId="107" xfId="71" applyFont="1" applyFill="1" applyBorder="1" applyAlignment="1" applyProtection="1">
      <alignment horizontal="center" vertical="top" wrapText="1"/>
      <protection locked="0"/>
    </xf>
    <xf numFmtId="0" fontId="119" fillId="33" borderId="13" xfId="295" applyFont="1" applyFill="1" applyBorder="1" applyAlignment="1" applyProtection="1">
      <alignment horizontal="center" vertical="center"/>
    </xf>
    <xf numFmtId="0" fontId="119" fillId="33" borderId="12" xfId="295" applyFont="1" applyFill="1" applyBorder="1" applyAlignment="1" applyProtection="1">
      <alignment horizontal="center" vertical="center"/>
    </xf>
    <xf numFmtId="0" fontId="119" fillId="33" borderId="11" xfId="295" applyFont="1" applyFill="1" applyBorder="1" applyAlignment="1" applyProtection="1">
      <alignment horizontal="center" vertical="center"/>
    </xf>
    <xf numFmtId="0" fontId="119" fillId="33" borderId="9" xfId="295" applyFont="1" applyFill="1" applyBorder="1" applyAlignment="1" applyProtection="1">
      <alignment horizontal="center" vertical="center"/>
    </xf>
    <xf numFmtId="0" fontId="119" fillId="0" borderId="56" xfId="429" applyFont="1" applyBorder="1" applyAlignment="1" applyProtection="1">
      <alignment horizontal="center" vertical="center"/>
    </xf>
    <xf numFmtId="0" fontId="99" fillId="2" borderId="12" xfId="427" applyFont="1" applyFill="1" applyBorder="1" applyAlignment="1" applyProtection="1">
      <alignment horizontal="center" vertical="center"/>
    </xf>
    <xf numFmtId="0" fontId="99" fillId="2" borderId="0" xfId="427" applyFont="1" applyFill="1" applyBorder="1" applyAlignment="1" applyProtection="1">
      <alignment horizontal="center" vertical="center"/>
    </xf>
    <xf numFmtId="167" fontId="121" fillId="0" borderId="19" xfId="429" applyNumberFormat="1" applyFont="1" applyBorder="1" applyAlignment="1" applyProtection="1">
      <alignment horizontal="center" vertical="center"/>
      <protection locked="0"/>
    </xf>
    <xf numFmtId="0" fontId="98" fillId="0" borderId="56" xfId="429" applyFont="1" applyBorder="1" applyAlignment="1" applyProtection="1">
      <alignment horizontal="center" vertical="center"/>
    </xf>
    <xf numFmtId="0" fontId="98" fillId="33" borderId="11" xfId="295" applyFont="1" applyFill="1" applyBorder="1" applyAlignment="1" applyProtection="1">
      <alignment horizontal="center" vertical="center"/>
    </xf>
    <xf numFmtId="0" fontId="98" fillId="33" borderId="9" xfId="295" applyFont="1" applyFill="1" applyBorder="1" applyAlignment="1" applyProtection="1">
      <alignment horizontal="center" vertical="center"/>
    </xf>
    <xf numFmtId="0" fontId="98" fillId="2" borderId="12" xfId="427" applyFont="1" applyFill="1" applyBorder="1" applyAlignment="1" applyProtection="1">
      <alignment horizontal="center" vertical="center" wrapText="1"/>
    </xf>
    <xf numFmtId="0" fontId="98" fillId="2" borderId="0" xfId="427" applyFont="1" applyFill="1" applyBorder="1" applyAlignment="1" applyProtection="1">
      <alignment horizontal="center" vertical="center" wrapText="1"/>
    </xf>
    <xf numFmtId="0" fontId="5" fillId="25" borderId="80" xfId="208" applyFont="1" applyFill="1" applyBorder="1" applyAlignment="1" applyProtection="1">
      <alignment horizontal="left" indent="2"/>
    </xf>
    <xf numFmtId="0" fontId="5" fillId="25" borderId="76" xfId="208" applyFont="1" applyFill="1" applyBorder="1" applyAlignment="1" applyProtection="1">
      <alignment horizontal="left" indent="2"/>
    </xf>
    <xf numFmtId="0" fontId="5" fillId="25" borderId="46" xfId="68" applyFont="1" applyFill="1" applyBorder="1" applyAlignment="1" applyProtection="1">
      <alignment horizontal="left" vertical="center" indent="2"/>
    </xf>
    <xf numFmtId="0" fontId="5" fillId="25" borderId="47" xfId="68" applyFont="1" applyFill="1" applyBorder="1" applyAlignment="1" applyProtection="1">
      <alignment horizontal="left" vertical="center" indent="2"/>
    </xf>
    <xf numFmtId="0" fontId="3" fillId="33" borderId="12" xfId="295" applyFont="1" applyFill="1" applyBorder="1" applyAlignment="1" applyProtection="1">
      <alignment horizontal="left" vertical="center"/>
    </xf>
    <xf numFmtId="0" fontId="3" fillId="33" borderId="17" xfId="295" applyFont="1" applyFill="1" applyBorder="1" applyAlignment="1" applyProtection="1">
      <alignment horizontal="left" vertical="center"/>
    </xf>
    <xf numFmtId="0" fontId="6" fillId="33" borderId="0" xfId="295" applyFont="1" applyFill="1" applyBorder="1" applyAlignment="1" applyProtection="1">
      <alignment horizontal="center" vertical="center"/>
    </xf>
    <xf numFmtId="0" fontId="6" fillId="33" borderId="18" xfId="295" applyFont="1" applyFill="1" applyBorder="1" applyAlignment="1" applyProtection="1">
      <alignment horizontal="center" vertical="center"/>
    </xf>
    <xf numFmtId="0" fontId="5" fillId="0" borderId="33" xfId="71" applyFont="1" applyBorder="1" applyAlignment="1" applyProtection="1">
      <alignment horizontal="center" vertical="center" wrapText="1"/>
    </xf>
    <xf numFmtId="0" fontId="5" fillId="0" borderId="34" xfId="71" applyFont="1" applyBorder="1" applyAlignment="1" applyProtection="1">
      <alignment horizontal="center" vertical="center" wrapText="1"/>
    </xf>
    <xf numFmtId="0" fontId="5" fillId="0" borderId="35" xfId="71" applyFont="1" applyBorder="1" applyAlignment="1" applyProtection="1">
      <alignment horizontal="center" vertical="center" wrapText="1"/>
    </xf>
    <xf numFmtId="0" fontId="5" fillId="0" borderId="36" xfId="71" applyFont="1" applyBorder="1" applyAlignment="1" applyProtection="1">
      <alignment horizontal="center" vertical="center" wrapText="1"/>
    </xf>
    <xf numFmtId="0" fontId="5" fillId="0" borderId="37" xfId="71" applyFont="1" applyBorder="1" applyAlignment="1" applyProtection="1">
      <alignment horizontal="center" vertical="center" wrapText="1"/>
    </xf>
    <xf numFmtId="0" fontId="111" fillId="0" borderId="31" xfId="71" applyFont="1" applyBorder="1" applyAlignment="1" applyProtection="1">
      <alignment horizontal="left" vertical="center"/>
    </xf>
    <xf numFmtId="0" fontId="111" fillId="0" borderId="41" xfId="71" applyFont="1" applyBorder="1" applyAlignment="1" applyProtection="1">
      <alignment horizontal="left" vertical="center"/>
    </xf>
    <xf numFmtId="0" fontId="111" fillId="0" borderId="42" xfId="71" applyFont="1" applyBorder="1" applyAlignment="1" applyProtection="1">
      <alignment horizontal="left" vertical="center"/>
    </xf>
    <xf numFmtId="0" fontId="111" fillId="0" borderId="38" xfId="71" applyFont="1" applyBorder="1" applyAlignment="1" applyProtection="1">
      <alignment horizontal="left" vertical="center"/>
    </xf>
    <xf numFmtId="0" fontId="111" fillId="0" borderId="39" xfId="71" applyFont="1" applyBorder="1" applyAlignment="1" applyProtection="1">
      <alignment horizontal="left" vertical="center"/>
    </xf>
    <xf numFmtId="0" fontId="111" fillId="0" borderId="40" xfId="71" applyFont="1" applyBorder="1" applyAlignment="1" applyProtection="1">
      <alignment horizontal="left" vertical="center"/>
    </xf>
    <xf numFmtId="0" fontId="5" fillId="26" borderId="16" xfId="71" applyFont="1" applyFill="1" applyBorder="1" applyAlignment="1" applyProtection="1">
      <alignment horizontal="left" vertical="center"/>
    </xf>
    <xf numFmtId="0" fontId="5" fillId="26" borderId="0" xfId="71" applyFont="1" applyFill="1" applyBorder="1" applyAlignment="1" applyProtection="1">
      <alignment horizontal="left" vertical="center"/>
    </xf>
    <xf numFmtId="0" fontId="5" fillId="26" borderId="0" xfId="0" applyFont="1" applyFill="1" applyBorder="1" applyAlignment="1" applyProtection="1">
      <alignment horizontal="left" vertical="center"/>
    </xf>
    <xf numFmtId="186" fontId="2" fillId="26" borderId="0" xfId="71" applyNumberFormat="1" applyFont="1" applyFill="1" applyBorder="1" applyAlignment="1" applyProtection="1">
      <alignment horizontal="left" vertical="center"/>
    </xf>
    <xf numFmtId="0" fontId="2" fillId="26" borderId="16" xfId="71" applyFont="1" applyFill="1" applyBorder="1" applyAlignment="1" applyProtection="1">
      <alignment horizontal="left" vertical="center"/>
    </xf>
    <xf numFmtId="0" fontId="111" fillId="0" borderId="112" xfId="71" applyFont="1" applyBorder="1" applyAlignment="1" applyProtection="1">
      <alignment horizontal="left" vertical="center"/>
    </xf>
    <xf numFmtId="0" fontId="111" fillId="0" borderId="114" xfId="71" applyFont="1" applyBorder="1" applyAlignment="1" applyProtection="1">
      <alignment horizontal="left" vertical="center"/>
    </xf>
    <xf numFmtId="0" fontId="1" fillId="0" borderId="34" xfId="71" applyFont="1" applyBorder="1" applyAlignment="1" applyProtection="1">
      <alignment horizontal="center"/>
    </xf>
    <xf numFmtId="0" fontId="1" fillId="0" borderId="35" xfId="71" applyFont="1" applyBorder="1" applyAlignment="1" applyProtection="1">
      <alignment horizontal="center"/>
    </xf>
    <xf numFmtId="0" fontId="1" fillId="0" borderId="0" xfId="71" applyFont="1" applyBorder="1" applyAlignment="1" applyProtection="1">
      <alignment horizontal="center"/>
    </xf>
    <xf numFmtId="0" fontId="1" fillId="0" borderId="37" xfId="71" applyFont="1" applyBorder="1" applyAlignment="1" applyProtection="1">
      <alignment horizontal="center"/>
    </xf>
    <xf numFmtId="0" fontId="1" fillId="0" borderId="39" xfId="71" applyFont="1" applyBorder="1" applyAlignment="1" applyProtection="1">
      <alignment horizontal="center"/>
    </xf>
    <xf numFmtId="0" fontId="1" fillId="0" borderId="40" xfId="71" applyFont="1" applyBorder="1" applyAlignment="1" applyProtection="1">
      <alignment horizontal="center"/>
    </xf>
    <xf numFmtId="0" fontId="115" fillId="25" borderId="65" xfId="208" applyFont="1" applyFill="1" applyBorder="1" applyAlignment="1" applyProtection="1">
      <alignment horizontal="center" vertical="center" wrapText="1"/>
    </xf>
    <xf numFmtId="0" fontId="115" fillId="25" borderId="66" xfId="208" applyFont="1" applyFill="1" applyBorder="1" applyAlignment="1" applyProtection="1">
      <alignment horizontal="center" vertical="center" wrapText="1"/>
    </xf>
    <xf numFmtId="0" fontId="44" fillId="0" borderId="36" xfId="68" applyFont="1" applyBorder="1" applyAlignment="1" applyProtection="1">
      <alignment horizontal="center"/>
    </xf>
    <xf numFmtId="0" fontId="44" fillId="0" borderId="37" xfId="68" applyFont="1" applyBorder="1" applyAlignment="1" applyProtection="1">
      <alignment horizontal="center"/>
    </xf>
    <xf numFmtId="0" fontId="1" fillId="0" borderId="36" xfId="208" applyFont="1" applyBorder="1" applyAlignment="1" applyProtection="1">
      <alignment horizontal="center"/>
    </xf>
    <xf numFmtId="0" fontId="3" fillId="25" borderId="34" xfId="68" applyFont="1" applyFill="1" applyBorder="1" applyAlignment="1" applyProtection="1">
      <alignment horizontal="center" vertical="center"/>
    </xf>
    <xf numFmtId="0" fontId="3" fillId="25" borderId="35" xfId="68" applyFont="1" applyFill="1" applyBorder="1" applyAlignment="1" applyProtection="1">
      <alignment horizontal="center" vertical="center"/>
    </xf>
    <xf numFmtId="0" fontId="2" fillId="0" borderId="0" xfId="68" applyFont="1" applyBorder="1" applyAlignment="1" applyProtection="1">
      <alignment horizontal="center"/>
    </xf>
    <xf numFmtId="0" fontId="2" fillId="0" borderId="37" xfId="68" applyFont="1" applyBorder="1" applyAlignment="1" applyProtection="1">
      <alignment horizontal="center"/>
    </xf>
    <xf numFmtId="1" fontId="117" fillId="0" borderId="38" xfId="208" applyNumberFormat="1" applyFont="1" applyFill="1" applyBorder="1" applyAlignment="1" applyProtection="1">
      <alignment horizontal="center"/>
    </xf>
    <xf numFmtId="1" fontId="117" fillId="0" borderId="40" xfId="208" applyNumberFormat="1" applyFont="1" applyFill="1" applyBorder="1" applyAlignment="1" applyProtection="1">
      <alignment horizontal="center"/>
    </xf>
    <xf numFmtId="1" fontId="117" fillId="0" borderId="36" xfId="208" applyNumberFormat="1" applyFont="1" applyFill="1" applyBorder="1" applyAlignment="1" applyProtection="1">
      <alignment horizontal="center"/>
    </xf>
    <xf numFmtId="1" fontId="117" fillId="0" borderId="37" xfId="208" applyNumberFormat="1" applyFont="1" applyFill="1" applyBorder="1" applyAlignment="1" applyProtection="1">
      <alignment horizontal="center"/>
    </xf>
    <xf numFmtId="0" fontId="2" fillId="0" borderId="178" xfId="208" applyFont="1" applyBorder="1" applyAlignment="1" applyProtection="1">
      <alignment horizontal="center" vertical="center" wrapText="1"/>
    </xf>
    <xf numFmtId="0" fontId="2" fillId="0" borderId="179" xfId="208" applyFont="1" applyBorder="1" applyAlignment="1" applyProtection="1">
      <alignment horizontal="center" vertical="center" wrapText="1"/>
    </xf>
    <xf numFmtId="0" fontId="5" fillId="25" borderId="33" xfId="208" applyFont="1" applyFill="1" applyBorder="1" applyAlignment="1" applyProtection="1">
      <alignment horizontal="center" vertical="center"/>
    </xf>
    <xf numFmtId="0" fontId="5" fillId="25" borderId="34" xfId="208" applyFont="1" applyFill="1" applyBorder="1" applyAlignment="1" applyProtection="1">
      <alignment horizontal="center" vertical="center"/>
    </xf>
    <xf numFmtId="0" fontId="5" fillId="25" borderId="35" xfId="208" applyFont="1" applyFill="1" applyBorder="1" applyAlignment="1" applyProtection="1">
      <alignment horizontal="center" vertical="center"/>
    </xf>
    <xf numFmtId="0" fontId="5" fillId="25" borderId="36" xfId="208" applyFont="1" applyFill="1" applyBorder="1" applyAlignment="1" applyProtection="1">
      <alignment horizontal="center" vertical="center"/>
    </xf>
    <xf numFmtId="0" fontId="5" fillId="25" borderId="0" xfId="208" applyFont="1" applyFill="1" applyBorder="1" applyAlignment="1" applyProtection="1">
      <alignment horizontal="center" vertical="center"/>
    </xf>
    <xf numFmtId="0" fontId="5" fillId="25" borderId="37" xfId="208" applyFont="1" applyFill="1" applyBorder="1" applyAlignment="1" applyProtection="1">
      <alignment horizontal="center" vertical="center"/>
    </xf>
    <xf numFmtId="0" fontId="115" fillId="25" borderId="36" xfId="208" applyFont="1" applyFill="1" applyBorder="1" applyAlignment="1" applyProtection="1">
      <alignment horizontal="center" vertical="center"/>
    </xf>
    <xf numFmtId="0" fontId="115" fillId="25" borderId="37" xfId="208" applyFont="1" applyFill="1" applyBorder="1" applyAlignment="1" applyProtection="1">
      <alignment horizontal="center" vertical="center"/>
    </xf>
    <xf numFmtId="0" fontId="115" fillId="25" borderId="33" xfId="208" applyFont="1" applyFill="1" applyBorder="1" applyAlignment="1" applyProtection="1">
      <alignment horizontal="center" vertical="center" wrapText="1"/>
    </xf>
    <xf numFmtId="0" fontId="115" fillId="25" borderId="35" xfId="208" applyFont="1" applyFill="1" applyBorder="1" applyAlignment="1" applyProtection="1">
      <alignment horizontal="center" vertical="center" wrapText="1"/>
    </xf>
    <xf numFmtId="0" fontId="115" fillId="25" borderId="36" xfId="208" applyFont="1" applyFill="1" applyBorder="1" applyAlignment="1" applyProtection="1">
      <alignment horizontal="center" vertical="center" wrapText="1"/>
    </xf>
    <xf numFmtId="0" fontId="115" fillId="25" borderId="37" xfId="208" applyFont="1" applyFill="1" applyBorder="1" applyAlignment="1" applyProtection="1">
      <alignment horizontal="center" vertical="center" wrapText="1"/>
    </xf>
    <xf numFmtId="0" fontId="4" fillId="0" borderId="39" xfId="208" applyFont="1" applyBorder="1" applyAlignment="1" applyProtection="1">
      <alignment horizontal="center" vertical="center"/>
    </xf>
    <xf numFmtId="0" fontId="4" fillId="0" borderId="39" xfId="208" applyFont="1" applyBorder="1" applyAlignment="1" applyProtection="1">
      <alignment horizontal="center"/>
    </xf>
    <xf numFmtId="0" fontId="4" fillId="0" borderId="0" xfId="208" applyFont="1" applyBorder="1" applyAlignment="1" applyProtection="1">
      <alignment horizontal="center"/>
    </xf>
    <xf numFmtId="0" fontId="3" fillId="25" borderId="33" xfId="68" applyFont="1" applyFill="1" applyBorder="1" applyAlignment="1" applyProtection="1">
      <alignment horizontal="center" vertical="center"/>
    </xf>
    <xf numFmtId="0" fontId="2" fillId="0" borderId="36" xfId="68" applyFont="1" applyBorder="1" applyAlignment="1" applyProtection="1">
      <alignment horizontal="center"/>
    </xf>
    <xf numFmtId="0" fontId="43" fillId="25" borderId="116" xfId="208" applyFont="1" applyFill="1" applyBorder="1" applyAlignment="1" applyProtection="1">
      <alignment horizontal="center" vertical="center"/>
    </xf>
    <xf numFmtId="0" fontId="43" fillId="25" borderId="117" xfId="208" applyFont="1" applyFill="1" applyBorder="1" applyAlignment="1" applyProtection="1">
      <alignment horizontal="center" vertical="center"/>
    </xf>
    <xf numFmtId="0" fontId="43" fillId="25" borderId="41" xfId="208" applyFont="1" applyFill="1" applyBorder="1" applyAlignment="1" applyProtection="1">
      <alignment horizontal="center" vertical="center"/>
    </xf>
    <xf numFmtId="0" fontId="43" fillId="25" borderId="42" xfId="208" applyFont="1" applyFill="1" applyBorder="1" applyAlignment="1" applyProtection="1">
      <alignment horizontal="center" vertical="center"/>
    </xf>
    <xf numFmtId="0" fontId="2" fillId="0" borderId="178" xfId="208" applyFont="1" applyBorder="1" applyAlignment="1" applyProtection="1">
      <alignment horizontal="left" vertical="center"/>
    </xf>
    <xf numFmtId="0" fontId="2" fillId="0" borderId="176" xfId="208" applyFont="1" applyBorder="1" applyAlignment="1" applyProtection="1">
      <alignment horizontal="left" vertical="center"/>
    </xf>
    <xf numFmtId="0" fontId="2" fillId="0" borderId="178" xfId="208" applyFont="1" applyBorder="1" applyAlignment="1" applyProtection="1">
      <alignment horizontal="left" vertical="center" wrapText="1"/>
    </xf>
    <xf numFmtId="0" fontId="2" fillId="0" borderId="16" xfId="208" applyFont="1" applyBorder="1" applyAlignment="1" applyProtection="1">
      <alignment horizontal="left" vertical="center"/>
    </xf>
    <xf numFmtId="0" fontId="2" fillId="0" borderId="176" xfId="208" applyFont="1" applyBorder="1" applyAlignment="1" applyProtection="1">
      <alignment horizontal="left" vertical="center" wrapText="1"/>
    </xf>
    <xf numFmtId="0" fontId="2" fillId="0" borderId="186" xfId="208" applyFont="1" applyBorder="1" applyAlignment="1" applyProtection="1">
      <alignment horizontal="left" vertical="center"/>
    </xf>
    <xf numFmtId="0" fontId="43" fillId="0" borderId="17" xfId="208" applyFont="1" applyBorder="1" applyAlignment="1" applyProtection="1">
      <alignment horizontal="center" vertical="center" wrapText="1"/>
    </xf>
    <xf numFmtId="0" fontId="43" fillId="0" borderId="14" xfId="208" applyFont="1" applyBorder="1" applyAlignment="1" applyProtection="1">
      <alignment horizontal="center" vertical="center" wrapText="1"/>
    </xf>
    <xf numFmtId="0" fontId="43" fillId="0" borderId="13" xfId="208" applyFont="1" applyBorder="1" applyAlignment="1" applyProtection="1">
      <alignment horizontal="center" vertical="center" wrapText="1"/>
    </xf>
    <xf numFmtId="0" fontId="43" fillId="0" borderId="15" xfId="208" applyFont="1" applyBorder="1" applyAlignment="1" applyProtection="1">
      <alignment horizontal="center" vertical="center"/>
    </xf>
    <xf numFmtId="0" fontId="43" fillId="0" borderId="29" xfId="208" applyFont="1" applyBorder="1" applyAlignment="1" applyProtection="1">
      <alignment horizontal="center" wrapText="1"/>
    </xf>
    <xf numFmtId="0" fontId="43" fillId="0" borderId="62" xfId="208" applyFont="1" applyBorder="1" applyAlignment="1" applyProtection="1">
      <alignment horizontal="center" wrapText="1"/>
    </xf>
    <xf numFmtId="167" fontId="2" fillId="0" borderId="13" xfId="208" applyNumberFormat="1" applyFont="1" applyBorder="1" applyAlignment="1" applyProtection="1">
      <alignment horizontal="center"/>
    </xf>
    <xf numFmtId="167" fontId="2" fillId="0" borderId="17" xfId="208" applyNumberFormat="1" applyFont="1" applyBorder="1" applyAlignment="1" applyProtection="1">
      <alignment horizontal="center"/>
    </xf>
    <xf numFmtId="167" fontId="2" fillId="0" borderId="12" xfId="208" applyNumberFormat="1" applyFont="1" applyBorder="1" applyAlignment="1" applyProtection="1">
      <alignment horizontal="center"/>
    </xf>
    <xf numFmtId="0" fontId="5" fillId="33" borderId="13" xfId="295" applyFont="1" applyFill="1" applyBorder="1" applyAlignment="1" applyProtection="1">
      <alignment horizontal="left" vertical="center"/>
      <protection locked="0"/>
    </xf>
    <xf numFmtId="0" fontId="5" fillId="33" borderId="12" xfId="295" applyFont="1" applyFill="1" applyBorder="1" applyAlignment="1" applyProtection="1">
      <alignment horizontal="left" vertical="center"/>
      <protection locked="0"/>
    </xf>
    <xf numFmtId="0" fontId="5" fillId="33" borderId="17" xfId="295" applyFont="1" applyFill="1" applyBorder="1" applyAlignment="1" applyProtection="1">
      <alignment horizontal="left" vertical="center"/>
      <protection locked="0"/>
    </xf>
    <xf numFmtId="0" fontId="4" fillId="0" borderId="19" xfId="208" applyFont="1" applyBorder="1" applyAlignment="1" applyProtection="1">
      <alignment horizontal="center"/>
    </xf>
    <xf numFmtId="0" fontId="4" fillId="0" borderId="37" xfId="208" applyFont="1" applyBorder="1" applyAlignment="1" applyProtection="1">
      <alignment horizontal="center"/>
    </xf>
    <xf numFmtId="0" fontId="4" fillId="0" borderId="18" xfId="208" applyFont="1" applyBorder="1" applyAlignment="1" applyProtection="1">
      <alignment horizontal="center"/>
    </xf>
    <xf numFmtId="0" fontId="6" fillId="33" borderId="15" xfId="295" applyFont="1" applyFill="1" applyBorder="1" applyAlignment="1" applyProtection="1">
      <alignment horizontal="center" vertical="center"/>
      <protection locked="0"/>
    </xf>
    <xf numFmtId="0" fontId="6" fillId="33" borderId="16" xfId="295" applyFont="1" applyFill="1" applyBorder="1" applyAlignment="1" applyProtection="1">
      <alignment horizontal="center" vertical="center"/>
      <protection locked="0"/>
    </xf>
    <xf numFmtId="0" fontId="6" fillId="33" borderId="14" xfId="295" applyFont="1" applyFill="1" applyBorder="1" applyAlignment="1" applyProtection="1">
      <alignment horizontal="center" vertical="center"/>
      <protection locked="0"/>
    </xf>
    <xf numFmtId="0" fontId="4" fillId="0" borderId="0" xfId="68" applyFont="1" applyBorder="1" applyAlignment="1" applyProtection="1">
      <alignment horizontal="center" vertical="center"/>
      <protection locked="0"/>
    </xf>
    <xf numFmtId="0" fontId="4" fillId="0" borderId="37" xfId="68" applyFont="1" applyBorder="1" applyAlignment="1" applyProtection="1">
      <alignment horizontal="center" vertical="center"/>
      <protection locked="0"/>
    </xf>
    <xf numFmtId="0" fontId="85" fillId="2" borderId="81" xfId="208" applyFont="1" applyFill="1" applyBorder="1" applyAlignment="1" applyProtection="1">
      <alignment horizontal="center" vertical="center" wrapText="1"/>
    </xf>
    <xf numFmtId="0" fontId="85" fillId="2" borderId="82" xfId="208" applyFont="1" applyFill="1" applyBorder="1" applyAlignment="1" applyProtection="1">
      <alignment horizontal="center" vertical="center" wrapText="1"/>
    </xf>
    <xf numFmtId="0" fontId="85" fillId="2" borderId="83" xfId="208" applyFont="1" applyFill="1" applyBorder="1" applyAlignment="1" applyProtection="1">
      <alignment horizontal="center" vertical="center" wrapText="1"/>
    </xf>
    <xf numFmtId="0" fontId="85" fillId="2" borderId="84" xfId="208" applyFont="1" applyFill="1" applyBorder="1" applyAlignment="1" applyProtection="1">
      <alignment horizontal="center" vertical="center" wrapText="1"/>
    </xf>
    <xf numFmtId="0" fontId="81" fillId="2" borderId="81" xfId="208" applyFont="1" applyFill="1" applyBorder="1" applyAlignment="1" applyProtection="1">
      <alignment horizontal="center" vertical="center" wrapText="1"/>
    </xf>
    <xf numFmtId="0" fontId="81" fillId="2" borderId="82" xfId="208" applyFont="1" applyFill="1" applyBorder="1" applyAlignment="1" applyProtection="1">
      <alignment horizontal="center" vertical="center" wrapText="1"/>
    </xf>
    <xf numFmtId="0" fontId="81" fillId="2" borderId="83" xfId="208" applyFont="1" applyFill="1" applyBorder="1" applyAlignment="1" applyProtection="1">
      <alignment horizontal="center" vertical="center" wrapText="1"/>
    </xf>
    <xf numFmtId="0" fontId="81" fillId="2" borderId="84" xfId="208" applyFont="1" applyFill="1" applyBorder="1" applyAlignment="1" applyProtection="1">
      <alignment horizontal="center" vertical="center" wrapText="1"/>
    </xf>
    <xf numFmtId="0" fontId="82" fillId="2" borderId="87" xfId="208" applyFont="1" applyFill="1" applyBorder="1" applyAlignment="1" applyProtection="1">
      <alignment horizontal="center" vertical="center" wrapText="1"/>
    </xf>
    <xf numFmtId="0" fontId="82" fillId="2" borderId="85" xfId="208" applyFont="1" applyFill="1" applyBorder="1" applyAlignment="1" applyProtection="1">
      <alignment horizontal="center" vertical="center" wrapText="1"/>
    </xf>
    <xf numFmtId="1" fontId="82" fillId="27" borderId="88" xfId="208" applyNumberFormat="1" applyFont="1" applyFill="1" applyBorder="1" applyAlignment="1" applyProtection="1">
      <alignment horizontal="center" vertical="center"/>
    </xf>
    <xf numFmtId="1" fontId="82" fillId="27" borderId="86" xfId="208" applyNumberFormat="1" applyFont="1" applyFill="1" applyBorder="1" applyAlignment="1" applyProtection="1">
      <alignment horizontal="center" vertical="center"/>
    </xf>
    <xf numFmtId="0" fontId="87" fillId="2" borderId="91" xfId="208" applyFont="1" applyFill="1" applyBorder="1" applyAlignment="1" applyProtection="1">
      <alignment horizontal="center" vertical="center" wrapText="1"/>
    </xf>
    <xf numFmtId="0" fontId="1" fillId="0" borderId="0" xfId="208" applyFill="1" applyBorder="1" applyAlignment="1" applyProtection="1">
      <alignment horizontal="center" vertical="center" wrapText="1"/>
      <protection locked="0"/>
    </xf>
    <xf numFmtId="0" fontId="91" fillId="2" borderId="0" xfId="208" applyFont="1" applyFill="1" applyAlignment="1" applyProtection="1">
      <alignment horizontal="center"/>
    </xf>
    <xf numFmtId="0" fontId="82" fillId="34" borderId="104" xfId="208" applyFont="1" applyFill="1" applyBorder="1" applyAlignment="1" applyProtection="1">
      <alignment horizontal="center"/>
    </xf>
    <xf numFmtId="0" fontId="82" fillId="34" borderId="105" xfId="208" applyFont="1" applyFill="1" applyBorder="1" applyAlignment="1" applyProtection="1">
      <alignment horizontal="center"/>
    </xf>
    <xf numFmtId="167" fontId="90" fillId="34" borderId="99" xfId="208" applyNumberFormat="1" applyFont="1" applyFill="1" applyBorder="1" applyAlignment="1" applyProtection="1">
      <alignment horizontal="center"/>
    </xf>
    <xf numFmtId="167" fontId="90" fillId="34" borderId="100" xfId="208" applyNumberFormat="1" applyFont="1" applyFill="1" applyBorder="1" applyAlignment="1" applyProtection="1">
      <alignment horizontal="center"/>
    </xf>
    <xf numFmtId="167" fontId="90" fillId="34" borderId="0" xfId="208" applyNumberFormat="1" applyFont="1" applyFill="1" applyBorder="1" applyAlignment="1" applyProtection="1">
      <alignment horizontal="center"/>
    </xf>
    <xf numFmtId="167" fontId="90" fillId="34" borderId="102" xfId="208" applyNumberFormat="1" applyFont="1" applyFill="1" applyBorder="1" applyAlignment="1" applyProtection="1">
      <alignment horizontal="center"/>
    </xf>
    <xf numFmtId="0" fontId="84" fillId="2" borderId="0" xfId="208" applyFont="1" applyFill="1" applyAlignment="1" applyProtection="1">
      <alignment horizontal="center" vertical="center" wrapText="1"/>
    </xf>
    <xf numFmtId="0" fontId="81" fillId="2" borderId="92" xfId="208" applyFont="1" applyFill="1" applyBorder="1" applyAlignment="1" applyProtection="1">
      <alignment horizontal="center" vertical="center" wrapText="1"/>
    </xf>
    <xf numFmtId="0" fontId="81" fillId="2" borderId="93" xfId="208" applyFont="1" applyFill="1" applyBorder="1" applyAlignment="1" applyProtection="1">
      <alignment horizontal="center" vertical="center" wrapText="1"/>
    </xf>
    <xf numFmtId="0" fontId="81" fillId="2" borderId="94" xfId="208" applyFont="1" applyFill="1" applyBorder="1" applyAlignment="1" applyProtection="1">
      <alignment horizontal="center" vertical="center" wrapText="1"/>
    </xf>
    <xf numFmtId="0" fontId="81" fillId="2" borderId="95" xfId="208" applyFont="1" applyFill="1" applyBorder="1" applyAlignment="1" applyProtection="1">
      <alignment horizontal="center" vertical="center" wrapText="1"/>
    </xf>
    <xf numFmtId="0" fontId="81" fillId="2" borderId="96" xfId="208" applyFont="1" applyFill="1" applyBorder="1" applyAlignment="1" applyProtection="1">
      <alignment horizontal="center" vertical="center" wrapText="1"/>
    </xf>
    <xf numFmtId="0" fontId="81" fillId="2" borderId="97" xfId="208" applyFont="1" applyFill="1" applyBorder="1" applyAlignment="1" applyProtection="1">
      <alignment horizontal="center" vertical="center" wrapText="1"/>
    </xf>
    <xf numFmtId="0" fontId="82" fillId="34" borderId="98" xfId="208" applyFont="1" applyFill="1" applyBorder="1" applyAlignment="1" applyProtection="1">
      <alignment horizontal="center" vertical="center" wrapText="1"/>
    </xf>
    <xf numFmtId="0" fontId="82" fillId="34" borderId="101" xfId="208" applyFont="1" applyFill="1" applyBorder="1" applyAlignment="1" applyProtection="1">
      <alignment horizontal="center" vertical="center" wrapText="1"/>
    </xf>
    <xf numFmtId="0" fontId="82" fillId="34" borderId="99" xfId="208" applyFont="1" applyFill="1" applyBorder="1" applyAlignment="1" applyProtection="1">
      <alignment horizontal="center" vertical="center" wrapText="1"/>
    </xf>
    <xf numFmtId="0" fontId="82" fillId="34" borderId="0" xfId="208" applyFont="1" applyFill="1" applyBorder="1" applyAlignment="1" applyProtection="1">
      <alignment horizontal="center" vertical="center" wrapText="1"/>
    </xf>
    <xf numFmtId="0" fontId="82" fillId="34" borderId="100" xfId="208" applyFont="1" applyFill="1" applyBorder="1" applyAlignment="1" applyProtection="1">
      <alignment horizontal="center" vertical="center" wrapText="1"/>
    </xf>
    <xf numFmtId="0" fontId="82" fillId="34" borderId="102" xfId="208" applyFont="1" applyFill="1" applyBorder="1" applyAlignment="1" applyProtection="1">
      <alignment horizontal="center" vertical="center" wrapText="1"/>
    </xf>
    <xf numFmtId="0" fontId="47" fillId="0" borderId="194" xfId="69" applyFont="1" applyBorder="1" applyAlignment="1" applyProtection="1">
      <alignment horizontal="center" wrapText="1"/>
    </xf>
    <xf numFmtId="0" fontId="47" fillId="0" borderId="36" xfId="70" applyFont="1" applyFill="1" applyBorder="1" applyAlignment="1" applyProtection="1">
      <alignment horizontal="center" vertical="center" wrapText="1"/>
    </xf>
    <xf numFmtId="0" fontId="1" fillId="29" borderId="2" xfId="208" applyFill="1" applyBorder="1" applyAlignment="1" applyProtection="1">
      <alignment horizontal="center" vertical="center" wrapText="1"/>
      <protection locked="0"/>
    </xf>
    <xf numFmtId="0" fontId="45" fillId="25" borderId="46" xfId="68" applyFont="1" applyFill="1" applyBorder="1" applyAlignment="1" applyProtection="1">
      <alignment horizontal="center" vertical="center"/>
    </xf>
    <xf numFmtId="0" fontId="45" fillId="25" borderId="47" xfId="68" applyFont="1" applyFill="1" applyBorder="1" applyAlignment="1" applyProtection="1">
      <alignment horizontal="center" vertical="center"/>
    </xf>
    <xf numFmtId="0" fontId="47" fillId="0" borderId="12" xfId="69" applyFont="1" applyBorder="1" applyAlignment="1" applyProtection="1">
      <alignment horizontal="center" vertical="center" wrapText="1"/>
    </xf>
    <xf numFmtId="0" fontId="44" fillId="0" borderId="46" xfId="68" applyFont="1" applyBorder="1" applyAlignment="1" applyProtection="1">
      <alignment horizontal="center"/>
    </xf>
    <xf numFmtId="0" fontId="44" fillId="0" borderId="47" xfId="68" applyFont="1" applyBorder="1" applyAlignment="1" applyProtection="1">
      <alignment horizontal="center"/>
    </xf>
    <xf numFmtId="0" fontId="2" fillId="0" borderId="45" xfId="68" applyFont="1" applyFill="1" applyBorder="1" applyAlignment="1" applyProtection="1">
      <alignment horizontal="center"/>
    </xf>
    <xf numFmtId="0" fontId="2" fillId="0" borderId="47" xfId="68" applyFont="1" applyFill="1" applyBorder="1" applyAlignment="1" applyProtection="1">
      <alignment horizontal="center"/>
    </xf>
    <xf numFmtId="0" fontId="2" fillId="0" borderId="46" xfId="68" applyFont="1" applyFill="1" applyBorder="1" applyAlignment="1" applyProtection="1">
      <alignment horizontal="center"/>
    </xf>
    <xf numFmtId="0" fontId="4" fillId="0" borderId="16" xfId="68" applyFont="1" applyBorder="1" applyAlignment="1" applyProtection="1">
      <alignment horizontal="center" vertical="center"/>
    </xf>
    <xf numFmtId="0" fontId="4" fillId="0" borderId="73" xfId="68" applyFont="1" applyBorder="1" applyAlignment="1" applyProtection="1">
      <alignment horizontal="center" vertical="center"/>
    </xf>
    <xf numFmtId="0" fontId="4" fillId="0" borderId="16" xfId="68" applyFont="1" applyFill="1" applyBorder="1" applyAlignment="1" applyProtection="1">
      <alignment horizontal="center" vertical="center"/>
    </xf>
    <xf numFmtId="0" fontId="4" fillId="0" borderId="14" xfId="68" applyFont="1" applyFill="1" applyBorder="1" applyAlignment="1" applyProtection="1">
      <alignment horizontal="center" vertical="center"/>
    </xf>
    <xf numFmtId="0" fontId="4" fillId="0" borderId="15" xfId="68" applyFont="1" applyFill="1" applyBorder="1" applyAlignment="1" applyProtection="1">
      <alignment horizontal="center" vertical="center"/>
    </xf>
    <xf numFmtId="0" fontId="1" fillId="29" borderId="8" xfId="208" applyFill="1" applyBorder="1" applyAlignment="1" applyProtection="1">
      <alignment horizontal="center" vertical="center" wrapText="1"/>
      <protection locked="0"/>
    </xf>
    <xf numFmtId="0" fontId="4" fillId="0" borderId="19" xfId="68" applyFont="1" applyBorder="1" applyAlignment="1" applyProtection="1">
      <alignment horizontal="center"/>
    </xf>
    <xf numFmtId="0" fontId="1" fillId="29" borderId="4" xfId="208" applyFill="1" applyBorder="1" applyAlignment="1" applyProtection="1">
      <alignment horizontal="center" vertical="center" wrapText="1"/>
      <protection locked="0"/>
    </xf>
    <xf numFmtId="0" fontId="4" fillId="0" borderId="19" xfId="68" quotePrefix="1" applyFont="1" applyBorder="1" applyAlignment="1" applyProtection="1">
      <alignment horizontal="center" vertical="center"/>
      <protection locked="0"/>
    </xf>
    <xf numFmtId="0" fontId="4" fillId="0" borderId="18" xfId="68" applyFont="1" applyBorder="1" applyAlignment="1" applyProtection="1">
      <alignment horizontal="center" vertical="center"/>
      <protection locked="0"/>
    </xf>
    <xf numFmtId="0" fontId="8" fillId="32" borderId="11" xfId="208" applyFont="1" applyFill="1" applyBorder="1" applyAlignment="1" applyProtection="1">
      <alignment horizontal="center" vertical="center" wrapText="1"/>
      <protection locked="0"/>
    </xf>
    <xf numFmtId="0" fontId="8" fillId="32" borderId="10" xfId="208" applyFont="1" applyFill="1" applyBorder="1" applyAlignment="1" applyProtection="1">
      <alignment horizontal="center" vertical="center" wrapText="1"/>
      <protection locked="0"/>
    </xf>
    <xf numFmtId="0" fontId="8" fillId="32" borderId="12" xfId="208" applyFont="1" applyFill="1" applyBorder="1" applyAlignment="1" applyProtection="1">
      <alignment horizontal="center" vertical="center" wrapText="1"/>
      <protection locked="0"/>
    </xf>
    <xf numFmtId="0" fontId="8" fillId="32" borderId="17" xfId="208" applyFont="1" applyFill="1" applyBorder="1" applyAlignment="1" applyProtection="1">
      <alignment horizontal="center" vertical="center" wrapText="1"/>
      <protection locked="0"/>
    </xf>
    <xf numFmtId="2" fontId="1" fillId="0" borderId="1" xfId="208" applyNumberFormat="1" applyFont="1" applyBorder="1" applyAlignment="1" applyProtection="1">
      <alignment horizontal="center" vertical="center"/>
    </xf>
    <xf numFmtId="2" fontId="1" fillId="0" borderId="3" xfId="208" applyNumberFormat="1" applyFont="1" applyBorder="1" applyAlignment="1" applyProtection="1">
      <alignment horizontal="center" vertical="center"/>
    </xf>
    <xf numFmtId="173" fontId="127" fillId="0" borderId="48" xfId="208" applyNumberFormat="1" applyFont="1" applyBorder="1" applyAlignment="1" applyProtection="1">
      <alignment horizontal="center" vertical="center"/>
    </xf>
    <xf numFmtId="173" fontId="127" fillId="0" borderId="49" xfId="208" applyNumberFormat="1" applyFont="1" applyBorder="1" applyAlignment="1" applyProtection="1">
      <alignment horizontal="center" vertical="center"/>
    </xf>
    <xf numFmtId="173" fontId="127" fillId="0" borderId="50" xfId="208" applyNumberFormat="1" applyFont="1" applyBorder="1" applyAlignment="1" applyProtection="1">
      <alignment horizontal="center" vertical="center"/>
    </xf>
    <xf numFmtId="0" fontId="127" fillId="29" borderId="11" xfId="208" applyFont="1" applyFill="1" applyBorder="1" applyAlignment="1" applyProtection="1">
      <alignment horizontal="center" vertical="center" wrapText="1"/>
      <protection locked="0"/>
    </xf>
    <xf numFmtId="0" fontId="127" fillId="29" borderId="10" xfId="208" applyFont="1" applyFill="1" applyBorder="1" applyAlignment="1" applyProtection="1">
      <alignment horizontal="center" vertical="center" wrapText="1"/>
      <protection locked="0"/>
    </xf>
    <xf numFmtId="0" fontId="127" fillId="29" borderId="9" xfId="208" applyFont="1" applyFill="1" applyBorder="1" applyAlignment="1" applyProtection="1">
      <alignment horizontal="center" vertical="center" wrapText="1"/>
      <protection locked="0"/>
    </xf>
    <xf numFmtId="2" fontId="1" fillId="0" borderId="6" xfId="208" applyNumberFormat="1" applyFont="1" applyBorder="1" applyAlignment="1" applyProtection="1">
      <alignment horizontal="center" vertical="center"/>
    </xf>
    <xf numFmtId="2" fontId="1" fillId="0" borderId="5" xfId="208" applyNumberFormat="1" applyFont="1" applyBorder="1" applyAlignment="1" applyProtection="1">
      <alignment horizontal="center" vertical="center"/>
    </xf>
    <xf numFmtId="2" fontId="1" fillId="0" borderId="51" xfId="208" applyNumberFormat="1" applyFont="1" applyBorder="1" applyAlignment="1" applyProtection="1">
      <alignment horizontal="center" vertical="center"/>
    </xf>
    <xf numFmtId="2" fontId="1" fillId="0" borderId="52" xfId="208" applyNumberFormat="1" applyFont="1" applyBorder="1" applyAlignment="1" applyProtection="1">
      <alignment horizontal="center" vertical="center"/>
    </xf>
    <xf numFmtId="0" fontId="1" fillId="0" borderId="56" xfId="208" applyFont="1" applyFill="1" applyBorder="1" applyAlignment="1" applyProtection="1">
      <alignment horizontal="left" vertical="center" wrapText="1"/>
    </xf>
    <xf numFmtId="0" fontId="1" fillId="29" borderId="10" xfId="208" applyFill="1" applyBorder="1" applyAlignment="1" applyProtection="1">
      <alignment horizontal="center" vertical="center" wrapText="1"/>
    </xf>
    <xf numFmtId="0" fontId="1" fillId="29" borderId="9" xfId="208" applyFill="1" applyBorder="1" applyAlignment="1" applyProtection="1">
      <alignment horizontal="center" vertical="center" wrapText="1"/>
    </xf>
    <xf numFmtId="0" fontId="2" fillId="0" borderId="11" xfId="208" applyFont="1" applyBorder="1" applyAlignment="1" applyProtection="1">
      <alignment horizontal="center" vertical="center" wrapText="1"/>
    </xf>
    <xf numFmtId="0" fontId="2" fillId="0" borderId="10" xfId="208" applyFont="1" applyBorder="1" applyAlignment="1" applyProtection="1">
      <alignment horizontal="center" vertical="center" wrapText="1"/>
    </xf>
    <xf numFmtId="0" fontId="2" fillId="0" borderId="9" xfId="208" applyFont="1" applyBorder="1" applyAlignment="1" applyProtection="1">
      <alignment horizontal="center" vertical="center" wrapText="1"/>
    </xf>
    <xf numFmtId="0" fontId="2" fillId="0" borderId="11" xfId="208" applyFont="1" applyBorder="1" applyAlignment="1" applyProtection="1">
      <alignment horizontal="center" vertical="center" wrapText="1"/>
      <protection locked="0"/>
    </xf>
    <xf numFmtId="0" fontId="2" fillId="0" borderId="10" xfId="208" applyFont="1" applyBorder="1" applyAlignment="1" applyProtection="1">
      <alignment horizontal="center" vertical="center" wrapText="1"/>
      <protection locked="0"/>
    </xf>
    <xf numFmtId="0" fontId="2" fillId="0" borderId="9" xfId="208" applyFont="1" applyBorder="1" applyAlignment="1" applyProtection="1">
      <alignment horizontal="center" vertical="center" wrapText="1"/>
      <protection locked="0"/>
    </xf>
    <xf numFmtId="0" fontId="2" fillId="29" borderId="56" xfId="208" applyFont="1" applyFill="1" applyBorder="1" applyAlignment="1" applyProtection="1">
      <alignment horizontal="center" vertical="center" wrapText="1"/>
      <protection locked="0"/>
    </xf>
    <xf numFmtId="0" fontId="8" fillId="32" borderId="11" xfId="208" applyFont="1" applyFill="1" applyBorder="1" applyAlignment="1" applyProtection="1">
      <alignment horizontal="center" vertical="center"/>
    </xf>
    <xf numFmtId="0" fontId="8" fillId="32" borderId="10" xfId="208" applyFont="1" applyFill="1" applyBorder="1" applyAlignment="1" applyProtection="1">
      <alignment horizontal="center" vertical="center"/>
    </xf>
    <xf numFmtId="0" fontId="8" fillId="32" borderId="12" xfId="208" applyFont="1" applyFill="1" applyBorder="1" applyAlignment="1" applyProtection="1">
      <alignment horizontal="center" vertical="center"/>
    </xf>
    <xf numFmtId="0" fontId="8" fillId="32" borderId="17" xfId="208" applyFont="1" applyFill="1" applyBorder="1" applyAlignment="1" applyProtection="1">
      <alignment horizontal="center" vertical="center"/>
    </xf>
    <xf numFmtId="0" fontId="1" fillId="29" borderId="53" xfId="208" applyFill="1" applyBorder="1" applyAlignment="1" applyProtection="1">
      <alignment horizontal="center" vertical="center" wrapText="1"/>
      <protection locked="0"/>
    </xf>
    <xf numFmtId="0" fontId="1" fillId="29" borderId="64" xfId="208" applyFill="1" applyBorder="1" applyAlignment="1" applyProtection="1">
      <alignment horizontal="center" vertical="center" wrapText="1"/>
      <protection locked="0"/>
    </xf>
    <xf numFmtId="0" fontId="1" fillId="29" borderId="54" xfId="208" applyFill="1" applyBorder="1" applyAlignment="1" applyProtection="1">
      <alignment horizontal="center" vertical="center" wrapText="1"/>
      <protection locked="0"/>
    </xf>
    <xf numFmtId="0" fontId="10" fillId="29" borderId="67" xfId="208" applyFont="1" applyFill="1" applyBorder="1" applyAlignment="1" applyProtection="1">
      <alignment horizontal="center" vertical="center" wrapText="1"/>
      <protection locked="0"/>
    </xf>
    <xf numFmtId="0" fontId="10" fillId="29" borderId="10" xfId="208" applyFont="1" applyFill="1" applyBorder="1" applyAlignment="1" applyProtection="1">
      <alignment horizontal="center" vertical="center" wrapText="1"/>
      <protection locked="0"/>
    </xf>
    <xf numFmtId="0" fontId="10" fillId="29" borderId="9" xfId="208" applyFont="1" applyFill="1" applyBorder="1" applyAlignment="1" applyProtection="1">
      <alignment horizontal="center" vertical="center" wrapText="1"/>
      <protection locked="0"/>
    </xf>
    <xf numFmtId="0" fontId="10" fillId="29" borderId="11" xfId="208" applyFont="1" applyFill="1" applyBorder="1" applyAlignment="1" applyProtection="1">
      <alignment horizontal="center" vertical="center" wrapText="1"/>
      <protection locked="0"/>
    </xf>
    <xf numFmtId="0" fontId="10" fillId="29" borderId="74" xfId="208" applyFont="1" applyFill="1" applyBorder="1" applyAlignment="1" applyProtection="1">
      <alignment horizontal="center" vertical="center" wrapText="1"/>
      <protection locked="0"/>
    </xf>
    <xf numFmtId="167" fontId="10" fillId="29" borderId="67" xfId="208" applyNumberFormat="1" applyFont="1" applyFill="1" applyBorder="1" applyAlignment="1" applyProtection="1">
      <alignment horizontal="center" vertical="center" wrapText="1"/>
      <protection locked="0"/>
    </xf>
    <xf numFmtId="167" fontId="10" fillId="29" borderId="10" xfId="208" applyNumberFormat="1" applyFont="1" applyFill="1" applyBorder="1" applyAlignment="1" applyProtection="1">
      <alignment horizontal="center" vertical="center" wrapText="1"/>
      <protection locked="0"/>
    </xf>
    <xf numFmtId="167" fontId="10" fillId="29" borderId="9" xfId="208" applyNumberFormat="1" applyFont="1" applyFill="1" applyBorder="1" applyAlignment="1" applyProtection="1">
      <alignment horizontal="center" vertical="center" wrapText="1"/>
      <protection locked="0"/>
    </xf>
    <xf numFmtId="167" fontId="10" fillId="29" borderId="11" xfId="208" applyNumberFormat="1" applyFont="1" applyFill="1" applyBorder="1" applyAlignment="1" applyProtection="1">
      <alignment horizontal="center" vertical="center" wrapText="1"/>
      <protection locked="0"/>
    </xf>
    <xf numFmtId="167" fontId="10" fillId="29" borderId="74" xfId="208" applyNumberFormat="1" applyFont="1" applyFill="1" applyBorder="1" applyAlignment="1" applyProtection="1">
      <alignment horizontal="center" vertical="center" wrapText="1"/>
      <protection locked="0"/>
    </xf>
    <xf numFmtId="0" fontId="1" fillId="0" borderId="11" xfId="208" applyFont="1" applyBorder="1" applyAlignment="1" applyProtection="1">
      <alignment horizontal="center" vertical="center"/>
    </xf>
    <xf numFmtId="0" fontId="1" fillId="0" borderId="11" xfId="208" applyFill="1" applyBorder="1" applyAlignment="1" applyProtection="1">
      <alignment horizontal="center" vertical="center" wrapText="1"/>
      <protection locked="0"/>
    </xf>
    <xf numFmtId="0" fontId="1" fillId="0" borderId="10" xfId="208" applyFill="1" applyBorder="1" applyAlignment="1" applyProtection="1">
      <alignment horizontal="center" vertical="center" wrapText="1"/>
      <protection locked="0"/>
    </xf>
    <xf numFmtId="0" fontId="1" fillId="0" borderId="9" xfId="208" applyFill="1" applyBorder="1" applyAlignment="1" applyProtection="1">
      <alignment horizontal="center" vertical="center" wrapText="1"/>
      <protection locked="0"/>
    </xf>
    <xf numFmtId="1" fontId="2" fillId="0" borderId="208" xfId="208" applyNumberFormat="1" applyFont="1" applyBorder="1" applyAlignment="1" applyProtection="1">
      <alignment horizontal="center"/>
    </xf>
    <xf numFmtId="1" fontId="2" fillId="0" borderId="209" xfId="208" applyNumberFormat="1" applyFont="1" applyBorder="1" applyAlignment="1" applyProtection="1">
      <alignment horizontal="center"/>
    </xf>
    <xf numFmtId="0" fontId="4" fillId="0" borderId="48" xfId="208" applyFont="1" applyBorder="1" applyAlignment="1" applyProtection="1">
      <alignment horizontal="justify" vertical="center" wrapText="1"/>
    </xf>
    <xf numFmtId="0" fontId="1" fillId="0" borderId="49" xfId="208" applyFont="1" applyBorder="1" applyAlignment="1" applyProtection="1">
      <alignment horizontal="justify" vertical="center" wrapText="1"/>
    </xf>
    <xf numFmtId="0" fontId="1" fillId="0" borderId="8" xfId="208" applyFill="1" applyBorder="1" applyAlignment="1" applyProtection="1">
      <alignment horizontal="center" vertical="center" wrapText="1"/>
      <protection locked="0"/>
    </xf>
    <xf numFmtId="1" fontId="2" fillId="0" borderId="16" xfId="208" applyNumberFormat="1" applyFont="1" applyBorder="1" applyAlignment="1" applyProtection="1">
      <alignment horizontal="center"/>
    </xf>
    <xf numFmtId="1" fontId="2" fillId="0" borderId="14" xfId="208" applyNumberFormat="1" applyFont="1" applyBorder="1" applyAlignment="1" applyProtection="1">
      <alignment horizontal="center"/>
    </xf>
    <xf numFmtId="1" fontId="2" fillId="0" borderId="15" xfId="208" applyNumberFormat="1" applyFont="1" applyBorder="1" applyAlignment="1" applyProtection="1">
      <alignment horizontal="center"/>
    </xf>
    <xf numFmtId="173" fontId="5" fillId="0" borderId="13" xfId="208" applyNumberFormat="1" applyFont="1" applyBorder="1" applyAlignment="1" applyProtection="1">
      <alignment horizontal="center"/>
      <protection locked="0"/>
    </xf>
    <xf numFmtId="173" fontId="5" fillId="0" borderId="12" xfId="208" applyNumberFormat="1" applyFont="1" applyBorder="1" applyAlignment="1" applyProtection="1">
      <alignment horizontal="center"/>
      <protection locked="0"/>
    </xf>
    <xf numFmtId="173" fontId="5" fillId="0" borderId="17" xfId="208" applyNumberFormat="1" applyFont="1" applyBorder="1" applyAlignment="1" applyProtection="1">
      <alignment horizontal="center"/>
      <protection locked="0"/>
    </xf>
    <xf numFmtId="173" fontId="5" fillId="0" borderId="19" xfId="208" applyNumberFormat="1" applyFont="1" applyBorder="1" applyAlignment="1" applyProtection="1">
      <alignment horizontal="center"/>
      <protection locked="0"/>
    </xf>
    <xf numFmtId="173" fontId="5" fillId="0" borderId="0" xfId="208" applyNumberFormat="1" applyFont="1" applyBorder="1" applyAlignment="1" applyProtection="1">
      <alignment horizontal="center"/>
      <protection locked="0"/>
    </xf>
    <xf numFmtId="173" fontId="5" fillId="0" borderId="18" xfId="208" applyNumberFormat="1" applyFont="1" applyBorder="1" applyAlignment="1" applyProtection="1">
      <alignment horizontal="center"/>
      <protection locked="0"/>
    </xf>
    <xf numFmtId="173" fontId="5" fillId="0" borderId="15" xfId="208" applyNumberFormat="1" applyFont="1" applyBorder="1" applyAlignment="1" applyProtection="1">
      <alignment horizontal="center"/>
      <protection locked="0"/>
    </xf>
    <xf numFmtId="173" fontId="5" fillId="0" borderId="16" xfId="208" applyNumberFormat="1" applyFont="1" applyBorder="1" applyAlignment="1" applyProtection="1">
      <alignment horizontal="center"/>
      <protection locked="0"/>
    </xf>
    <xf numFmtId="173" fontId="5" fillId="0" borderId="14" xfId="208" applyNumberFormat="1" applyFont="1" applyBorder="1" applyAlignment="1" applyProtection="1">
      <alignment horizontal="center"/>
      <protection locked="0"/>
    </xf>
    <xf numFmtId="0" fontId="8" fillId="32" borderId="11" xfId="208" applyFont="1" applyFill="1" applyBorder="1" applyAlignment="1" applyProtection="1">
      <alignment horizontal="center" vertical="center" wrapText="1"/>
    </xf>
    <xf numFmtId="0" fontId="8" fillId="32" borderId="10" xfId="208" applyFont="1" applyFill="1" applyBorder="1" applyAlignment="1" applyProtection="1">
      <alignment horizontal="center" vertical="center" wrapText="1"/>
    </xf>
    <xf numFmtId="0" fontId="8" fillId="32" borderId="9" xfId="208" applyFont="1" applyFill="1" applyBorder="1" applyAlignment="1" applyProtection="1">
      <alignment horizontal="center" vertical="center" wrapText="1"/>
    </xf>
    <xf numFmtId="0" fontId="1" fillId="29" borderId="7" xfId="208" applyFill="1" applyBorder="1" applyAlignment="1" applyProtection="1">
      <alignment horizontal="center" vertical="center" wrapText="1"/>
      <protection locked="0"/>
    </xf>
    <xf numFmtId="0" fontId="1" fillId="0" borderId="3" xfId="208" applyBorder="1" applyAlignment="1" applyProtection="1">
      <alignment horizontal="right" vertical="center" wrapText="1"/>
    </xf>
    <xf numFmtId="0" fontId="1" fillId="29" borderId="67" xfId="208" applyFill="1" applyBorder="1" applyAlignment="1" applyProtection="1">
      <alignment horizontal="center" vertical="center" wrapText="1"/>
      <protection locked="0"/>
    </xf>
    <xf numFmtId="0" fontId="1" fillId="29" borderId="10" xfId="208" applyFill="1" applyBorder="1" applyAlignment="1" applyProtection="1">
      <alignment horizontal="center" vertical="center" wrapText="1"/>
      <protection locked="0"/>
    </xf>
    <xf numFmtId="0" fontId="1" fillId="29" borderId="9" xfId="208" applyFill="1" applyBorder="1" applyAlignment="1" applyProtection="1">
      <alignment horizontal="center" vertical="center" wrapText="1"/>
      <protection locked="0"/>
    </xf>
    <xf numFmtId="0" fontId="1" fillId="29" borderId="11" xfId="208" applyFill="1" applyBorder="1" applyAlignment="1" applyProtection="1">
      <alignment horizontal="center" vertical="center" wrapText="1"/>
      <protection locked="0"/>
    </xf>
    <xf numFmtId="0" fontId="1" fillId="29" borderId="74" xfId="208" applyFill="1" applyBorder="1" applyAlignment="1" applyProtection="1">
      <alignment horizontal="center" vertical="center" wrapText="1"/>
      <protection locked="0"/>
    </xf>
    <xf numFmtId="0" fontId="3" fillId="32" borderId="11" xfId="208" applyFont="1" applyFill="1" applyBorder="1" applyAlignment="1" applyProtection="1">
      <alignment horizontal="center"/>
    </xf>
    <xf numFmtId="0" fontId="3" fillId="32" borderId="10" xfId="208" applyFont="1" applyFill="1" applyBorder="1" applyAlignment="1" applyProtection="1">
      <alignment horizontal="center"/>
    </xf>
    <xf numFmtId="0" fontId="3" fillId="32" borderId="9" xfId="208" applyFont="1" applyFill="1" applyBorder="1" applyAlignment="1" applyProtection="1">
      <alignment horizontal="center"/>
    </xf>
    <xf numFmtId="0" fontId="1" fillId="0" borderId="5" xfId="208" applyBorder="1" applyAlignment="1" applyProtection="1">
      <alignment horizontal="right" vertical="center" wrapText="1"/>
    </xf>
    <xf numFmtId="0" fontId="102" fillId="0" borderId="19" xfId="208" applyFont="1" applyBorder="1" applyAlignment="1" applyProtection="1">
      <alignment horizontal="center"/>
    </xf>
    <xf numFmtId="0" fontId="102" fillId="0" borderId="18" xfId="208" applyFont="1" applyBorder="1" applyAlignment="1" applyProtection="1">
      <alignment horizontal="center"/>
    </xf>
    <xf numFmtId="2" fontId="102" fillId="0" borderId="19" xfId="208" applyNumberFormat="1" applyFont="1" applyBorder="1" applyAlignment="1" applyProtection="1">
      <alignment horizontal="center"/>
    </xf>
    <xf numFmtId="2" fontId="102" fillId="0" borderId="18" xfId="208" applyNumberFormat="1" applyFont="1" applyBorder="1" applyAlignment="1" applyProtection="1">
      <alignment horizontal="center"/>
    </xf>
    <xf numFmtId="0" fontId="2" fillId="0" borderId="11" xfId="208" applyFont="1" applyBorder="1" applyAlignment="1" applyProtection="1">
      <alignment horizontal="left" vertical="center" wrapText="1"/>
    </xf>
    <xf numFmtId="0" fontId="2" fillId="0" borderId="10" xfId="208" applyFont="1" applyBorder="1" applyAlignment="1" applyProtection="1">
      <alignment horizontal="left"/>
    </xf>
    <xf numFmtId="0" fontId="43" fillId="0" borderId="19" xfId="208" applyFont="1" applyBorder="1" applyAlignment="1" applyProtection="1">
      <alignment horizontal="center" wrapText="1"/>
    </xf>
    <xf numFmtId="0" fontId="43" fillId="0" borderId="18" xfId="208" applyFont="1" applyBorder="1" applyAlignment="1" applyProtection="1">
      <alignment horizontal="center" wrapText="1"/>
    </xf>
    <xf numFmtId="0" fontId="1" fillId="0" borderId="29" xfId="71" applyFont="1" applyBorder="1" applyAlignment="1" applyProtection="1">
      <alignment horizontal="center"/>
    </xf>
    <xf numFmtId="0" fontId="5" fillId="0" borderId="16" xfId="71" applyFont="1" applyBorder="1" applyAlignment="1" applyProtection="1">
      <alignment horizontal="center" vertical="center" wrapText="1"/>
    </xf>
    <xf numFmtId="0" fontId="111" fillId="0" borderId="56" xfId="71" applyFont="1" applyBorder="1" applyAlignment="1" applyProtection="1">
      <alignment horizontal="left" vertical="center"/>
    </xf>
    <xf numFmtId="0" fontId="111" fillId="0" borderId="13" xfId="71" applyFont="1" applyBorder="1" applyAlignment="1" applyProtection="1">
      <alignment horizontal="left" vertical="center"/>
    </xf>
    <xf numFmtId="0" fontId="111" fillId="0" borderId="12" xfId="71" applyFont="1" applyBorder="1" applyAlignment="1" applyProtection="1">
      <alignment horizontal="left" vertical="center"/>
    </xf>
    <xf numFmtId="0" fontId="111" fillId="0" borderId="17" xfId="71" applyFont="1" applyBorder="1" applyAlignment="1" applyProtection="1">
      <alignment horizontal="left" vertical="center"/>
    </xf>
    <xf numFmtId="186" fontId="2" fillId="0" borderId="12" xfId="71" applyNumberFormat="1" applyFont="1" applyBorder="1" applyAlignment="1" applyProtection="1">
      <alignment horizontal="left" vertical="center"/>
    </xf>
    <xf numFmtId="0" fontId="2" fillId="26" borderId="0" xfId="71" applyFont="1" applyFill="1" applyBorder="1" applyAlignment="1" applyProtection="1">
      <alignment horizontal="left" vertical="center"/>
    </xf>
    <xf numFmtId="0" fontId="43" fillId="26" borderId="0" xfId="71" applyFont="1" applyFill="1" applyBorder="1" applyAlignment="1" applyProtection="1">
      <alignment horizontal="left" vertical="center"/>
    </xf>
    <xf numFmtId="0" fontId="2" fillId="0" borderId="72" xfId="208" applyFont="1" applyBorder="1" applyAlignment="1" applyProtection="1">
      <alignment horizontal="left" vertical="center" wrapText="1"/>
    </xf>
    <xf numFmtId="0" fontId="2" fillId="0" borderId="34" xfId="208" applyFont="1" applyBorder="1" applyAlignment="1" applyProtection="1">
      <alignment horizontal="left" vertical="center" wrapText="1"/>
    </xf>
    <xf numFmtId="0" fontId="2" fillId="0" borderId="208" xfId="208" applyFont="1" applyBorder="1" applyAlignment="1" applyProtection="1">
      <alignment horizontal="left" vertical="center"/>
    </xf>
    <xf numFmtId="0" fontId="2" fillId="0" borderId="108" xfId="208" applyFont="1" applyBorder="1" applyAlignment="1" applyProtection="1">
      <alignment horizontal="left" vertical="center"/>
    </xf>
    <xf numFmtId="0" fontId="1" fillId="0" borderId="13" xfId="71" applyFont="1" applyBorder="1" applyAlignment="1" applyProtection="1">
      <alignment horizontal="center"/>
    </xf>
    <xf numFmtId="0" fontId="1" fillId="0" borderId="17" xfId="71" applyFont="1" applyBorder="1" applyAlignment="1" applyProtection="1">
      <alignment horizontal="center"/>
    </xf>
    <xf numFmtId="0" fontId="1" fillId="0" borderId="19" xfId="71" applyFont="1" applyBorder="1" applyAlignment="1" applyProtection="1">
      <alignment horizontal="center"/>
    </xf>
    <xf numFmtId="0" fontId="1" fillId="0" borderId="18" xfId="71" applyFont="1" applyBorder="1" applyAlignment="1" applyProtection="1">
      <alignment horizontal="center"/>
    </xf>
    <xf numFmtId="0" fontId="1" fillId="0" borderId="15" xfId="71" applyFont="1" applyBorder="1" applyAlignment="1" applyProtection="1">
      <alignment horizontal="center"/>
    </xf>
    <xf numFmtId="0" fontId="1" fillId="0" borderId="14" xfId="71" applyFont="1" applyBorder="1" applyAlignment="1" applyProtection="1">
      <alignment horizontal="center"/>
    </xf>
    <xf numFmtId="0" fontId="111" fillId="0" borderId="113" xfId="71" applyFont="1" applyBorder="1" applyAlignment="1" applyProtection="1">
      <alignment horizontal="left" vertical="center"/>
    </xf>
    <xf numFmtId="0" fontId="111" fillId="0" borderId="170" xfId="71" applyFont="1" applyBorder="1" applyAlignment="1" applyProtection="1">
      <alignment horizontal="left" vertical="center"/>
    </xf>
    <xf numFmtId="0" fontId="43" fillId="26" borderId="12" xfId="0" applyFont="1" applyFill="1" applyBorder="1" applyAlignment="1" applyProtection="1">
      <alignment horizontal="left" vertical="center"/>
    </xf>
    <xf numFmtId="0" fontId="2" fillId="0" borderId="15" xfId="208" applyFont="1" applyBorder="1" applyAlignment="1" applyProtection="1">
      <alignment horizontal="left" vertical="center"/>
    </xf>
    <xf numFmtId="0" fontId="2" fillId="0" borderId="34" xfId="208" applyFont="1" applyBorder="1" applyAlignment="1" applyProtection="1">
      <alignment horizontal="center" wrapText="1"/>
    </xf>
    <xf numFmtId="0" fontId="2" fillId="0" borderId="107" xfId="208" applyFont="1" applyBorder="1" applyAlignment="1" applyProtection="1">
      <alignment horizontal="center" wrapText="1"/>
    </xf>
    <xf numFmtId="0" fontId="43" fillId="25" borderId="119" xfId="208" applyFont="1" applyFill="1" applyBorder="1" applyAlignment="1" applyProtection="1">
      <alignment horizontal="center" vertical="center"/>
    </xf>
    <xf numFmtId="0" fontId="43" fillId="25" borderId="120" xfId="208" applyFont="1" applyFill="1" applyBorder="1" applyAlignment="1" applyProtection="1">
      <alignment horizontal="center" vertical="center"/>
    </xf>
    <xf numFmtId="0" fontId="2" fillId="26" borderId="0" xfId="71" applyNumberFormat="1" applyFont="1" applyFill="1" applyBorder="1" applyAlignment="1" applyProtection="1">
      <alignment horizontal="left" vertical="center"/>
    </xf>
    <xf numFmtId="0" fontId="115" fillId="25" borderId="19" xfId="208" applyFont="1" applyFill="1" applyBorder="1" applyAlignment="1" applyProtection="1">
      <alignment horizontal="center"/>
    </xf>
    <xf numFmtId="0" fontId="115" fillId="25" borderId="18" xfId="208" applyFont="1" applyFill="1" applyBorder="1" applyAlignment="1" applyProtection="1">
      <alignment horizontal="center"/>
    </xf>
    <xf numFmtId="0" fontId="117" fillId="0" borderId="19" xfId="208" applyFont="1" applyFill="1" applyBorder="1" applyAlignment="1" applyProtection="1">
      <alignment horizontal="center"/>
    </xf>
    <xf numFmtId="0" fontId="117" fillId="0" borderId="18" xfId="208" applyFont="1" applyFill="1" applyBorder="1" applyAlignment="1" applyProtection="1">
      <alignment horizontal="center"/>
    </xf>
    <xf numFmtId="0" fontId="43" fillId="25" borderId="166" xfId="208" applyFont="1" applyFill="1" applyBorder="1" applyAlignment="1" applyProtection="1">
      <alignment horizontal="center" vertical="center"/>
    </xf>
    <xf numFmtId="0" fontId="43" fillId="25" borderId="169" xfId="208" applyFont="1" applyFill="1" applyBorder="1" applyAlignment="1" applyProtection="1">
      <alignment horizontal="center" vertical="center"/>
    </xf>
    <xf numFmtId="0" fontId="115" fillId="25" borderId="202" xfId="208" applyFont="1" applyFill="1" applyBorder="1" applyAlignment="1" applyProtection="1">
      <alignment horizontal="center" vertical="center" wrapText="1"/>
    </xf>
    <xf numFmtId="0" fontId="115" fillId="25" borderId="79" xfId="208" applyFont="1" applyFill="1" applyBorder="1" applyAlignment="1" applyProtection="1">
      <alignment horizontal="center" vertical="center" wrapText="1"/>
    </xf>
    <xf numFmtId="0" fontId="2" fillId="0" borderId="121" xfId="208" applyFont="1" applyBorder="1" applyAlignment="1" applyProtection="1">
      <alignment horizontal="left" vertical="center"/>
    </xf>
    <xf numFmtId="0" fontId="2" fillId="0" borderId="216" xfId="208" applyFont="1" applyBorder="1" applyAlignment="1" applyProtection="1">
      <alignment horizontal="left" vertical="center" wrapText="1"/>
    </xf>
    <xf numFmtId="0" fontId="2" fillId="0" borderId="217" xfId="208" applyFont="1" applyBorder="1" applyAlignment="1" applyProtection="1">
      <alignment horizontal="left" vertical="center" wrapText="1"/>
    </xf>
    <xf numFmtId="0" fontId="2" fillId="0" borderId="109" xfId="208" applyFont="1" applyBorder="1" applyAlignment="1" applyProtection="1">
      <alignment horizontal="left" vertical="center"/>
    </xf>
    <xf numFmtId="0" fontId="2" fillId="0" borderId="110" xfId="208" applyFont="1" applyBorder="1" applyAlignment="1" applyProtection="1">
      <alignment horizontal="left" vertical="center"/>
    </xf>
    <xf numFmtId="0" fontId="43" fillId="25" borderId="13" xfId="208" applyFont="1" applyFill="1" applyBorder="1" applyAlignment="1" applyProtection="1">
      <alignment horizontal="center" vertical="center" wrapText="1"/>
    </xf>
    <xf numFmtId="0" fontId="43" fillId="25" borderId="12" xfId="208" applyFont="1" applyFill="1" applyBorder="1" applyAlignment="1" applyProtection="1">
      <alignment horizontal="center" vertical="center" wrapText="1"/>
    </xf>
    <xf numFmtId="0" fontId="43" fillId="25" borderId="17" xfId="208" applyFont="1" applyFill="1" applyBorder="1" applyAlignment="1" applyProtection="1">
      <alignment horizontal="center" vertical="center" wrapText="1"/>
    </xf>
    <xf numFmtId="0" fontId="43" fillId="25" borderId="19" xfId="208" applyFont="1" applyFill="1" applyBorder="1" applyAlignment="1" applyProtection="1">
      <alignment horizontal="center" vertical="center" wrapText="1"/>
    </xf>
    <xf numFmtId="0" fontId="43" fillId="25" borderId="0" xfId="208" applyFont="1" applyFill="1" applyBorder="1" applyAlignment="1" applyProtection="1">
      <alignment horizontal="center" vertical="center" wrapText="1"/>
    </xf>
    <xf numFmtId="0" fontId="43" fillId="25" borderId="18" xfId="208" applyFont="1" applyFill="1" applyBorder="1" applyAlignment="1" applyProtection="1">
      <alignment horizontal="center" vertical="center" wrapText="1"/>
    </xf>
    <xf numFmtId="0" fontId="81" fillId="25" borderId="13" xfId="208" applyFont="1" applyFill="1" applyBorder="1" applyAlignment="1" applyProtection="1">
      <alignment horizontal="center" vertical="center" wrapText="1"/>
    </xf>
    <xf numFmtId="0" fontId="81" fillId="25" borderId="17" xfId="208" applyFont="1" applyFill="1" applyBorder="1" applyAlignment="1" applyProtection="1">
      <alignment horizontal="center" vertical="center" wrapText="1"/>
    </xf>
    <xf numFmtId="0" fontId="81" fillId="25" borderId="19" xfId="208" applyFont="1" applyFill="1" applyBorder="1" applyAlignment="1" applyProtection="1">
      <alignment horizontal="center" vertical="center" wrapText="1"/>
    </xf>
    <xf numFmtId="0" fontId="81" fillId="25" borderId="18" xfId="208" applyFont="1" applyFill="1" applyBorder="1" applyAlignment="1" applyProtection="1">
      <alignment horizontal="center" vertical="center" wrapText="1"/>
    </xf>
    <xf numFmtId="0" fontId="5" fillId="25" borderId="13" xfId="208" applyFont="1" applyFill="1" applyBorder="1" applyAlignment="1" applyProtection="1">
      <alignment horizontal="center" vertical="center"/>
    </xf>
    <xf numFmtId="0" fontId="5" fillId="25" borderId="12" xfId="208" applyFont="1" applyFill="1" applyBorder="1" applyAlignment="1" applyProtection="1">
      <alignment horizontal="center" vertical="center"/>
    </xf>
    <xf numFmtId="0" fontId="5" fillId="25" borderId="17" xfId="208" applyFont="1" applyFill="1" applyBorder="1" applyAlignment="1" applyProtection="1">
      <alignment horizontal="center" vertical="center"/>
    </xf>
    <xf numFmtId="0" fontId="2" fillId="0" borderId="19" xfId="208" applyFont="1" applyBorder="1" applyAlignment="1" applyProtection="1">
      <alignment horizontal="center" vertical="center"/>
      <protection locked="0"/>
    </xf>
    <xf numFmtId="0" fontId="2" fillId="0" borderId="0" xfId="208" applyFont="1" applyBorder="1" applyAlignment="1" applyProtection="1">
      <alignment horizontal="center" vertical="center"/>
      <protection locked="0"/>
    </xf>
    <xf numFmtId="0" fontId="2" fillId="0" borderId="18" xfId="208" applyFont="1" applyBorder="1" applyAlignment="1" applyProtection="1">
      <alignment horizontal="center" vertical="center"/>
      <protection locked="0"/>
    </xf>
    <xf numFmtId="0" fontId="2" fillId="0" borderId="15" xfId="208" applyFont="1" applyBorder="1" applyAlignment="1" applyProtection="1">
      <alignment horizontal="center" vertical="center"/>
      <protection locked="0"/>
    </xf>
    <xf numFmtId="0" fontId="2" fillId="0" borderId="16" xfId="208" applyFont="1" applyBorder="1" applyAlignment="1" applyProtection="1">
      <alignment horizontal="center" vertical="center"/>
      <protection locked="0"/>
    </xf>
    <xf numFmtId="0" fontId="2" fillId="0" borderId="14" xfId="208" applyFont="1" applyBorder="1" applyAlignment="1" applyProtection="1">
      <alignment horizontal="center" vertical="center"/>
      <protection locked="0"/>
    </xf>
    <xf numFmtId="0" fontId="47" fillId="0" borderId="200" xfId="69" applyFont="1" applyBorder="1" applyAlignment="1" applyProtection="1">
      <alignment horizontal="center" wrapText="1"/>
    </xf>
    <xf numFmtId="0" fontId="3" fillId="33" borderId="13" xfId="295" applyFont="1" applyFill="1" applyBorder="1" applyAlignment="1" applyProtection="1">
      <alignment horizontal="left" vertical="center"/>
      <protection locked="0"/>
    </xf>
    <xf numFmtId="0" fontId="3" fillId="33" borderId="12" xfId="295" applyFont="1" applyFill="1" applyBorder="1" applyAlignment="1" applyProtection="1">
      <alignment horizontal="left" vertical="center"/>
      <protection locked="0"/>
    </xf>
    <xf numFmtId="0" fontId="3" fillId="33" borderId="17" xfId="295" applyFont="1" applyFill="1" applyBorder="1" applyAlignment="1" applyProtection="1">
      <alignment horizontal="left" vertical="center"/>
      <protection locked="0"/>
    </xf>
    <xf numFmtId="0" fontId="6" fillId="33" borderId="19" xfId="295" applyFont="1" applyFill="1" applyBorder="1" applyAlignment="1" applyProtection="1">
      <alignment horizontal="center" vertical="center"/>
      <protection locked="0"/>
    </xf>
    <xf numFmtId="0" fontId="6" fillId="33" borderId="0" xfId="295" applyFont="1" applyFill="1" applyBorder="1" applyAlignment="1" applyProtection="1">
      <alignment horizontal="center" vertical="center"/>
      <protection locked="0"/>
    </xf>
    <xf numFmtId="0" fontId="6" fillId="33" borderId="18" xfId="295" applyFont="1" applyFill="1" applyBorder="1" applyAlignment="1" applyProtection="1">
      <alignment horizontal="center" vertical="center"/>
      <protection locked="0"/>
    </xf>
    <xf numFmtId="0" fontId="117" fillId="0" borderId="15" xfId="208" applyFont="1" applyFill="1" applyBorder="1" applyAlignment="1" applyProtection="1">
      <alignment horizontal="center"/>
    </xf>
    <xf numFmtId="0" fontId="117" fillId="0" borderId="14" xfId="208" applyFont="1" applyFill="1" applyBorder="1" applyAlignment="1" applyProtection="1">
      <alignment horizontal="center"/>
    </xf>
    <xf numFmtId="0" fontId="5" fillId="25" borderId="15" xfId="68" applyFont="1" applyFill="1" applyBorder="1" applyAlignment="1" applyProtection="1">
      <alignment horizontal="left" vertical="center" indent="2"/>
    </xf>
    <xf numFmtId="0" fontId="5" fillId="25" borderId="16" xfId="68" applyFont="1" applyFill="1" applyBorder="1" applyAlignment="1" applyProtection="1">
      <alignment horizontal="left" vertical="center" indent="2"/>
    </xf>
    <xf numFmtId="0" fontId="2" fillId="0" borderId="19" xfId="68" quotePrefix="1" applyFont="1" applyBorder="1" applyAlignment="1" applyProtection="1">
      <alignment horizontal="center"/>
      <protection locked="0"/>
    </xf>
    <xf numFmtId="0" fontId="2" fillId="0" borderId="18" xfId="68" applyFont="1" applyBorder="1" applyAlignment="1" applyProtection="1">
      <alignment horizontal="center"/>
      <protection locked="0"/>
    </xf>
    <xf numFmtId="0" fontId="2" fillId="0" borderId="15" xfId="68" applyFont="1" applyFill="1" applyBorder="1" applyAlignment="1" applyProtection="1">
      <alignment horizontal="center"/>
    </xf>
    <xf numFmtId="0" fontId="2" fillId="0" borderId="14" xfId="68" applyFont="1" applyFill="1" applyBorder="1" applyAlignment="1" applyProtection="1">
      <alignment horizontal="center"/>
    </xf>
    <xf numFmtId="0" fontId="1" fillId="0" borderId="18" xfId="208" applyFont="1" applyBorder="1" applyAlignment="1" applyProtection="1">
      <alignment horizontal="center"/>
    </xf>
    <xf numFmtId="0" fontId="2" fillId="0" borderId="19" xfId="68" applyFont="1" applyBorder="1" applyAlignment="1" applyProtection="1">
      <alignment horizontal="center"/>
      <protection locked="0"/>
    </xf>
    <xf numFmtId="0" fontId="44" fillId="0" borderId="0" xfId="68" applyFont="1" applyBorder="1" applyAlignment="1" applyProtection="1">
      <alignment horizontal="center"/>
      <protection locked="0"/>
    </xf>
    <xf numFmtId="0" fontId="44" fillId="0" borderId="18" xfId="68" applyFont="1" applyBorder="1" applyAlignment="1" applyProtection="1">
      <alignment horizontal="center"/>
      <protection locked="0"/>
    </xf>
    <xf numFmtId="0" fontId="44" fillId="0" borderId="16" xfId="68" applyFont="1" applyBorder="1" applyAlignment="1" applyProtection="1">
      <alignment horizontal="center"/>
    </xf>
    <xf numFmtId="0" fontId="44" fillId="0" borderId="14" xfId="68" applyFont="1" applyBorder="1" applyAlignment="1" applyProtection="1">
      <alignment horizontal="center"/>
    </xf>
    <xf numFmtId="0" fontId="5" fillId="25" borderId="12" xfId="208" applyFont="1" applyFill="1" applyBorder="1" applyAlignment="1" applyProtection="1">
      <alignment horizontal="center"/>
    </xf>
  </cellXfs>
  <cellStyles count="546">
    <cellStyle name="20% - Accent1" xfId="296"/>
    <cellStyle name="20% - Accent1 2" xfId="297"/>
    <cellStyle name="20% - Accent1 2 2" xfId="433"/>
    <cellStyle name="20% - Accent1 3" xfId="434"/>
    <cellStyle name="20% - Accent2" xfId="298"/>
    <cellStyle name="20% - Accent2 2" xfId="299"/>
    <cellStyle name="20% - Accent2 2 2" xfId="435"/>
    <cellStyle name="20% - Accent2 3" xfId="436"/>
    <cellStyle name="20% - Accent3" xfId="300"/>
    <cellStyle name="20% - Accent3 2" xfId="301"/>
    <cellStyle name="20% - Accent3 2 2" xfId="437"/>
    <cellStyle name="20% - Accent3 3" xfId="438"/>
    <cellStyle name="20% - Accent4" xfId="302"/>
    <cellStyle name="20% - Accent4 2" xfId="303"/>
    <cellStyle name="20% - Accent4 2 2" xfId="439"/>
    <cellStyle name="20% - Accent4 3" xfId="440"/>
    <cellStyle name="20% - Accent5" xfId="304"/>
    <cellStyle name="20% - Accent5 2" xfId="305"/>
    <cellStyle name="20% - Accent5 2 2" xfId="441"/>
    <cellStyle name="20% - Accent5 3" xfId="442"/>
    <cellStyle name="20% - Accent6" xfId="306"/>
    <cellStyle name="20% - Accent6 2" xfId="307"/>
    <cellStyle name="20% - Accent6 2 2" xfId="443"/>
    <cellStyle name="20% - Accent6 3" xfId="444"/>
    <cellStyle name="20% - Énfasis1 2" xfId="22"/>
    <cellStyle name="20% - Énfasis1 2 2" xfId="308"/>
    <cellStyle name="20% - Énfasis1 2 2 2" xfId="445"/>
    <cellStyle name="20% - Énfasis1 2 3" xfId="446"/>
    <cellStyle name="20% - Énfasis2 2" xfId="23"/>
    <cellStyle name="20% - Énfasis2 2 2" xfId="309"/>
    <cellStyle name="20% - Énfasis2 2 2 2" xfId="447"/>
    <cellStyle name="20% - Énfasis2 2 3" xfId="448"/>
    <cellStyle name="20% - Énfasis3 2" xfId="24"/>
    <cellStyle name="20% - Énfasis3 2 2" xfId="310"/>
    <cellStyle name="20% - Énfasis3 2 2 2" xfId="449"/>
    <cellStyle name="20% - Énfasis3 2 3" xfId="450"/>
    <cellStyle name="20% - Énfasis4 2" xfId="25"/>
    <cellStyle name="20% - Énfasis4 2 2" xfId="311"/>
    <cellStyle name="20% - Énfasis4 2 2 2" xfId="451"/>
    <cellStyle name="20% - Énfasis4 2 3" xfId="452"/>
    <cellStyle name="20% - Énfasis5 2" xfId="26"/>
    <cellStyle name="20% - Énfasis5 2 2" xfId="312"/>
    <cellStyle name="20% - Énfasis5 2 2 2" xfId="453"/>
    <cellStyle name="20% - Énfasis5 2 3" xfId="454"/>
    <cellStyle name="20% - Énfasis6 2" xfId="27"/>
    <cellStyle name="20% - Énfasis6 2 2" xfId="313"/>
    <cellStyle name="20% - Énfasis6 2 2 2" xfId="455"/>
    <cellStyle name="20% - Énfasis6 2 3" xfId="456"/>
    <cellStyle name="40% - Accent1" xfId="314"/>
    <cellStyle name="40% - Accent1 2" xfId="315"/>
    <cellStyle name="40% - Accent1 2 2" xfId="457"/>
    <cellStyle name="40% - Accent1 3" xfId="458"/>
    <cellStyle name="40% - Accent2" xfId="316"/>
    <cellStyle name="40% - Accent2 2" xfId="317"/>
    <cellStyle name="40% - Accent2 2 2" xfId="459"/>
    <cellStyle name="40% - Accent2 3" xfId="460"/>
    <cellStyle name="40% - Accent3" xfId="318"/>
    <cellStyle name="40% - Accent3 2" xfId="319"/>
    <cellStyle name="40% - Accent3 2 2" xfId="461"/>
    <cellStyle name="40% - Accent3 3" xfId="462"/>
    <cellStyle name="40% - Accent4" xfId="320"/>
    <cellStyle name="40% - Accent4 2" xfId="321"/>
    <cellStyle name="40% - Accent4 2 2" xfId="463"/>
    <cellStyle name="40% - Accent4 3" xfId="464"/>
    <cellStyle name="40% - Accent5" xfId="322"/>
    <cellStyle name="40% - Accent5 2" xfId="323"/>
    <cellStyle name="40% - Accent5 2 2" xfId="465"/>
    <cellStyle name="40% - Accent5 3" xfId="466"/>
    <cellStyle name="40% - Accent6" xfId="324"/>
    <cellStyle name="40% - Accent6 2" xfId="325"/>
    <cellStyle name="40% - Accent6 2 2" xfId="467"/>
    <cellStyle name="40% - Accent6 3" xfId="468"/>
    <cellStyle name="40% - Énfasis1 2" xfId="28"/>
    <cellStyle name="40% - Énfasis1 2 2" xfId="326"/>
    <cellStyle name="40% - Énfasis1 2 2 2" xfId="469"/>
    <cellStyle name="40% - Énfasis1 2 3" xfId="470"/>
    <cellStyle name="40% - Énfasis2 2" xfId="29"/>
    <cellStyle name="40% - Énfasis2 2 2" xfId="327"/>
    <cellStyle name="40% - Énfasis2 2 2 2" xfId="471"/>
    <cellStyle name="40% - Énfasis2 2 3" xfId="472"/>
    <cellStyle name="40% - Énfasis3 2" xfId="30"/>
    <cellStyle name="40% - Énfasis3 2 2" xfId="328"/>
    <cellStyle name="40% - Énfasis3 2 2 2" xfId="473"/>
    <cellStyle name="40% - Énfasis3 2 3" xfId="474"/>
    <cellStyle name="40% - Énfasis4 2" xfId="31"/>
    <cellStyle name="40% - Énfasis4 2 2" xfId="329"/>
    <cellStyle name="40% - Énfasis4 2 2 2" xfId="475"/>
    <cellStyle name="40% - Énfasis4 2 3" xfId="476"/>
    <cellStyle name="40% - Énfasis5 2" xfId="32"/>
    <cellStyle name="40% - Énfasis5 2 2" xfId="330"/>
    <cellStyle name="40% - Énfasis5 2 2 2" xfId="477"/>
    <cellStyle name="40% - Énfasis5 2 3" xfId="478"/>
    <cellStyle name="40% - Énfasis6 2" xfId="33"/>
    <cellStyle name="40% - Énfasis6 2 2" xfId="331"/>
    <cellStyle name="40% - Énfasis6 2 2 2" xfId="479"/>
    <cellStyle name="40% - Énfasis6 2 3" xfId="480"/>
    <cellStyle name="60% - Accent1" xfId="332"/>
    <cellStyle name="60% - Accent1 2" xfId="333"/>
    <cellStyle name="60% - Accent2" xfId="334"/>
    <cellStyle name="60% - Accent2 2" xfId="335"/>
    <cellStyle name="60% - Accent3" xfId="336"/>
    <cellStyle name="60% - Accent3 2" xfId="337"/>
    <cellStyle name="60% - Accent4" xfId="338"/>
    <cellStyle name="60% - Accent4 2" xfId="339"/>
    <cellStyle name="60% - Accent5" xfId="340"/>
    <cellStyle name="60% - Accent5 2" xfId="341"/>
    <cellStyle name="60% - Accent6" xfId="342"/>
    <cellStyle name="60% - Accent6 2" xfId="343"/>
    <cellStyle name="60% - Énfasis1 2" xfId="34"/>
    <cellStyle name="60% - Énfasis1 2 2" xfId="344"/>
    <cellStyle name="60% - Énfasis2 2" xfId="35"/>
    <cellStyle name="60% - Énfasis2 2 2" xfId="345"/>
    <cellStyle name="60% - Énfasis3 2" xfId="36"/>
    <cellStyle name="60% - Énfasis3 2 2" xfId="346"/>
    <cellStyle name="60% - Énfasis4 2" xfId="37"/>
    <cellStyle name="60% - Énfasis4 2 2" xfId="347"/>
    <cellStyle name="60% - Énfasis5 2" xfId="38"/>
    <cellStyle name="60% - Énfasis5 2 2" xfId="348"/>
    <cellStyle name="60% - Énfasis6 2" xfId="39"/>
    <cellStyle name="60% - Énfasis6 2 2" xfId="349"/>
    <cellStyle name="Accent1" xfId="350"/>
    <cellStyle name="Accent1 2" xfId="351"/>
    <cellStyle name="Accent2" xfId="352"/>
    <cellStyle name="Accent2 2" xfId="353"/>
    <cellStyle name="Accent3" xfId="354"/>
    <cellStyle name="Accent3 2" xfId="355"/>
    <cellStyle name="Accent4" xfId="356"/>
    <cellStyle name="Accent4 2" xfId="357"/>
    <cellStyle name="Accent5" xfId="358"/>
    <cellStyle name="Accent5 2" xfId="359"/>
    <cellStyle name="Accent6" xfId="360"/>
    <cellStyle name="Accent6 2" xfId="361"/>
    <cellStyle name="Bad" xfId="362"/>
    <cellStyle name="Bad 2" xfId="363"/>
    <cellStyle name="Buena 2" xfId="40"/>
    <cellStyle name="Buena 2 2" xfId="364"/>
    <cellStyle name="Calculation" xfId="365"/>
    <cellStyle name="Calculation 2" xfId="366"/>
    <cellStyle name="Cálculo 2" xfId="41"/>
    <cellStyle name="Cálculo 2 2" xfId="367"/>
    <cellStyle name="Celda de comprobación 2" xfId="42"/>
    <cellStyle name="Celda de comprobación 2 2" xfId="368"/>
    <cellStyle name="Celda vinculada 2" xfId="43"/>
    <cellStyle name="Celda vinculada 2 2" xfId="369"/>
    <cellStyle name="Check Cell" xfId="370"/>
    <cellStyle name="Check Cell 2" xfId="371"/>
    <cellStyle name="CIENTOS" xfId="151"/>
    <cellStyle name="CIENTOS 2D" xfId="152"/>
    <cellStyle name="CIENTOS 3D" xfId="153"/>
    <cellStyle name="CIENTOS 4D" xfId="154"/>
    <cellStyle name="CIENTOS_Acta 01 Sep15 a Oct 31_07 Rogelio" xfId="155"/>
    <cellStyle name="Comma" xfId="4"/>
    <cellStyle name="Comma [0]" xfId="372"/>
    <cellStyle name="Comma0" xfId="156"/>
    <cellStyle name="Comma0 - Modelo5" xfId="157"/>
    <cellStyle name="Comma1 - Modelo1" xfId="158"/>
    <cellStyle name="Curren - Modelo2" xfId="159"/>
    <cellStyle name="Curren - Modelo6" xfId="160"/>
    <cellStyle name="Currency" xfId="5"/>
    <cellStyle name="Currency [0]" xfId="373"/>
    <cellStyle name="Currency0" xfId="161"/>
    <cellStyle name="Date" xfId="6"/>
    <cellStyle name="Date - Modelo4" xfId="162"/>
    <cellStyle name="Encabezado 4 2" xfId="44"/>
    <cellStyle name="Encabezado 4 2 2" xfId="374"/>
    <cellStyle name="Énfasis1 2" xfId="45"/>
    <cellStyle name="Énfasis1 2 2" xfId="375"/>
    <cellStyle name="Énfasis2 2" xfId="46"/>
    <cellStyle name="Énfasis2 2 2" xfId="376"/>
    <cellStyle name="Énfasis3 2" xfId="47"/>
    <cellStyle name="Énfasis3 2 2" xfId="377"/>
    <cellStyle name="Énfasis4 2" xfId="48"/>
    <cellStyle name="Énfasis4 2 2" xfId="378"/>
    <cellStyle name="Énfasis5 2" xfId="49"/>
    <cellStyle name="Énfasis5 2 2" xfId="379"/>
    <cellStyle name="Énfasis6 2" xfId="50"/>
    <cellStyle name="Énfasis6 2 2" xfId="380"/>
    <cellStyle name="Entrada 2" xfId="51"/>
    <cellStyle name="Entrada 2 2" xfId="381"/>
    <cellStyle name="Estilo 1" xfId="382"/>
    <cellStyle name="Estilo 2" xfId="383"/>
    <cellStyle name="Estilo 3" xfId="384"/>
    <cellStyle name="Euro" xfId="7"/>
    <cellStyle name="Euro 2" xfId="52"/>
    <cellStyle name="Euro 2 2" xfId="65"/>
    <cellStyle name="Euro 3" xfId="163"/>
    <cellStyle name="Euro 4" xfId="164"/>
    <cellStyle name="Euro 5" xfId="165"/>
    <cellStyle name="Euro_ACTAS DE OBRA CONTRATO" xfId="166"/>
    <cellStyle name="Explanatory Text" xfId="385"/>
    <cellStyle name="Explanatory Text 2" xfId="386"/>
    <cellStyle name="F2" xfId="8"/>
    <cellStyle name="F3" xfId="9"/>
    <cellStyle name="F4" xfId="10"/>
    <cellStyle name="F5" xfId="11"/>
    <cellStyle name="F6" xfId="12"/>
    <cellStyle name="F7" xfId="13"/>
    <cellStyle name="F8" xfId="14"/>
    <cellStyle name="Fixed" xfId="15"/>
    <cellStyle name="Good" xfId="387"/>
    <cellStyle name="Good 2" xfId="388"/>
    <cellStyle name="Heading 1" xfId="167"/>
    <cellStyle name="Heading 1 2" xfId="389"/>
    <cellStyle name="Heading 1 3" xfId="390"/>
    <cellStyle name="Heading 2" xfId="168"/>
    <cellStyle name="Heading 2 2" xfId="391"/>
    <cellStyle name="Heading 2 3" xfId="392"/>
    <cellStyle name="Heading 3" xfId="393"/>
    <cellStyle name="Heading 3 2" xfId="394"/>
    <cellStyle name="Heading 4" xfId="395"/>
    <cellStyle name="Heading 4 2" xfId="396"/>
    <cellStyle name="Heading1" xfId="16"/>
    <cellStyle name="Heading2" xfId="17"/>
    <cellStyle name="Hipervínculo 2" xfId="75"/>
    <cellStyle name="Hipervínculo 2 2" xfId="76"/>
    <cellStyle name="Hipervínculo 2 3" xfId="77"/>
    <cellStyle name="Hipervínculo 2 4" xfId="78"/>
    <cellStyle name="Hipervínculo 3" xfId="79"/>
    <cellStyle name="Hipervínculo 3 2" xfId="169"/>
    <cellStyle name="Hipervínculo 4" xfId="80"/>
    <cellStyle name="Hipervínculo 4 2" xfId="81"/>
    <cellStyle name="Hipervínculo 4 3" xfId="82"/>
    <cellStyle name="Hipervínculo 5" xfId="83"/>
    <cellStyle name="Hipervínculo 5 2" xfId="84"/>
    <cellStyle name="Hipervínculo 6" xfId="85"/>
    <cellStyle name="Hipervínculo 6 2" xfId="86"/>
    <cellStyle name="Hipervínculo 7" xfId="170"/>
    <cellStyle name="Incorrecto 2" xfId="53"/>
    <cellStyle name="Incorrecto 2 2" xfId="397"/>
    <cellStyle name="Input" xfId="398"/>
    <cellStyle name="Input 2" xfId="399"/>
    <cellStyle name="Linked Cell" xfId="400"/>
    <cellStyle name="Linked Cell 2" xfId="401"/>
    <cellStyle name="MILE DE MILLONES" xfId="171"/>
    <cellStyle name="MILES" xfId="172"/>
    <cellStyle name="Millares [0] 2" xfId="173"/>
    <cellStyle name="Millares [0] 2 2" xfId="174"/>
    <cellStyle name="Millares [0] 2 2 2" xfId="489"/>
    <cellStyle name="Millares [0] 2 2 2 2" xfId="490"/>
    <cellStyle name="Millares [0] 2 3" xfId="175"/>
    <cellStyle name="Millares [0] 2 3 2" xfId="491"/>
    <cellStyle name="Millares [0] 2 3 2 2" xfId="492"/>
    <cellStyle name="Millares [0] 2 4" xfId="176"/>
    <cellStyle name="Millares [0] 2 4 2" xfId="493"/>
    <cellStyle name="Millares [0] 2 4 2 2" xfId="494"/>
    <cellStyle name="Millares [0] 2 5" xfId="177"/>
    <cellStyle name="Millares [0] 2 5 2" xfId="495"/>
    <cellStyle name="Millares [0] 2 5 2 2" xfId="496"/>
    <cellStyle name="Millares [0] 2 6" xfId="497"/>
    <cellStyle name="Millares [0] 2 6 2" xfId="498"/>
    <cellStyle name="Millares 10" xfId="178"/>
    <cellStyle name="Millares 11" xfId="179"/>
    <cellStyle name="Millares 12" xfId="180"/>
    <cellStyle name="Millares 13" xfId="181"/>
    <cellStyle name="Millares 14" xfId="182"/>
    <cellStyle name="Millares 15" xfId="183"/>
    <cellStyle name="Millares 2" xfId="3"/>
    <cellStyle name="Millares 2 2" xfId="499"/>
    <cellStyle name="Millares 2 2 2" xfId="500"/>
    <cellStyle name="Millares 2 2 2 2" xfId="501"/>
    <cellStyle name="Millares 2 2 3" xfId="502"/>
    <cellStyle name="Millares 3" xfId="184"/>
    <cellStyle name="Millares 3 2" xfId="185"/>
    <cellStyle name="Millares 3 2 2" xfId="503"/>
    <cellStyle name="Millares 3 2 2 2" xfId="504"/>
    <cellStyle name="Millares 4" xfId="186"/>
    <cellStyle name="Millares 5" xfId="187"/>
    <cellStyle name="Millares 6" xfId="188"/>
    <cellStyle name="Millares 7" xfId="189"/>
    <cellStyle name="Millares 8" xfId="190"/>
    <cellStyle name="Millares 9" xfId="191"/>
    <cellStyle name="MILLONES" xfId="192"/>
    <cellStyle name="Moneda 10" xfId="193"/>
    <cellStyle name="Moneda 11" xfId="194"/>
    <cellStyle name="Moneda 12" xfId="195"/>
    <cellStyle name="Moneda 13" xfId="196"/>
    <cellStyle name="Moneda 2" xfId="197"/>
    <cellStyle name="Moneda 3" xfId="198"/>
    <cellStyle name="Moneda 4" xfId="199"/>
    <cellStyle name="Moneda 5" xfId="200"/>
    <cellStyle name="Moneda 6" xfId="201"/>
    <cellStyle name="Moneda 7" xfId="202"/>
    <cellStyle name="Moneda 8" xfId="203"/>
    <cellStyle name="Moneda 9" xfId="204"/>
    <cellStyle name="Monetario0" xfId="205"/>
    <cellStyle name="Neutral 2" xfId="54"/>
    <cellStyle name="Neutral 2 2" xfId="402"/>
    <cellStyle name="Nïrmal_PROINVER" xfId="206"/>
    <cellStyle name="No. punto" xfId="207"/>
    <cellStyle name="Normal" xfId="0" builtinId="0"/>
    <cellStyle name="Normal 10" xfId="87"/>
    <cellStyle name="Normal 10 2" xfId="208"/>
    <cellStyle name="Normal 10 2 2" xfId="505"/>
    <cellStyle name="Normal 10 3" xfId="506"/>
    <cellStyle name="Normal 10 4" xfId="507"/>
    <cellStyle name="Normal 11" xfId="209"/>
    <cellStyle name="Normal 11 2" xfId="210"/>
    <cellStyle name="Normal 12" xfId="508"/>
    <cellStyle name="Normal 12 2" xfId="509"/>
    <cellStyle name="Normal 12 2 2" xfId="510"/>
    <cellStyle name="Normal 12 3" xfId="511"/>
    <cellStyle name="Normal 13" xfId="512"/>
    <cellStyle name="Normal 14" xfId="545"/>
    <cellStyle name="Normal 2" xfId="1"/>
    <cellStyle name="Normal 2 10" xfId="211"/>
    <cellStyle name="Normal 2 10 2" xfId="150"/>
    <cellStyle name="Normal 2 2" xfId="73"/>
    <cellStyle name="Normal 2 2 2" xfId="88"/>
    <cellStyle name="Normal 2 2 2 2" xfId="89"/>
    <cellStyle name="Normal 2 2 2 2 2" xfId="212"/>
    <cellStyle name="Normal 2 2 2 2 3" xfId="213"/>
    <cellStyle name="Normal 2 2 2 3" xfId="90"/>
    <cellStyle name="Normal 2 2 2 3 2" xfId="214"/>
    <cellStyle name="Normal 2 2 2 3 3" xfId="215"/>
    <cellStyle name="Normal 2 2 2 4" xfId="91"/>
    <cellStyle name="Normal 2 2 2 4 2" xfId="216"/>
    <cellStyle name="Normal 2 2 2 5" xfId="92"/>
    <cellStyle name="Normal 2 2 2 5 2" xfId="217"/>
    <cellStyle name="Normal 2 2 2 6" xfId="218"/>
    <cellStyle name="Normal 2 2 3" xfId="93"/>
    <cellStyle name="Normal 2 2 3 2" xfId="94"/>
    <cellStyle name="Normal 2 2 3 3" xfId="219"/>
    <cellStyle name="Normal 2 2 3 3 2" xfId="220"/>
    <cellStyle name="Normal 2 2 4" xfId="95"/>
    <cellStyle name="Normal 2 2 4 2" xfId="96"/>
    <cellStyle name="Normal 2 2 4 2 2" xfId="97"/>
    <cellStyle name="Normal 2 2 4 3" xfId="221"/>
    <cellStyle name="Normal 2 2 4 3 2" xfId="222"/>
    <cellStyle name="Normal 2 2 5" xfId="98"/>
    <cellStyle name="Normal 2 2 5 2" xfId="513"/>
    <cellStyle name="Normal 2 2 6" xfId="514"/>
    <cellStyle name="Normal 2 3" xfId="99"/>
    <cellStyle name="Normal 2 3 10" xfId="223"/>
    <cellStyle name="Normal 2 3 10 2" xfId="224"/>
    <cellStyle name="Normal 2 3 10 2 2" xfId="225"/>
    <cellStyle name="Normal 2 3 11" xfId="226"/>
    <cellStyle name="Normal 2 3 12" xfId="227"/>
    <cellStyle name="Normal 2 3 13" xfId="228"/>
    <cellStyle name="Normal 2 3 14" xfId="229"/>
    <cellStyle name="Normal 2 3 15" xfId="230"/>
    <cellStyle name="Normal 2 3 16" xfId="231"/>
    <cellStyle name="Normal 2 3 17" xfId="232"/>
    <cellStyle name="Normal 2 3 17 2" xfId="233"/>
    <cellStyle name="Normal 2 3 17 3" xfId="234"/>
    <cellStyle name="Normal 2 3 18" xfId="235"/>
    <cellStyle name="Normal 2 3 2" xfId="100"/>
    <cellStyle name="Normal 2 3 3" xfId="68"/>
    <cellStyle name="Normal 2 3 3 2" xfId="236"/>
    <cellStyle name="Normal 2 3 4" xfId="237"/>
    <cellStyle name="Normal 2 3 5" xfId="238"/>
    <cellStyle name="Normal 2 3 5 2" xfId="239"/>
    <cellStyle name="Normal 2 3 5 2 2" xfId="240"/>
    <cellStyle name="Normal 2 3 5 2 2 2" xfId="241"/>
    <cellStyle name="Normal 2 3 5 3" xfId="242"/>
    <cellStyle name="Normal 2 3 5 4" xfId="243"/>
    <cellStyle name="Normal 2 3 5 5" xfId="244"/>
    <cellStyle name="Normal 2 3 5 6" xfId="245"/>
    <cellStyle name="Normal 2 3 5 7" xfId="246"/>
    <cellStyle name="Normal 2 3 5 7 2" xfId="247"/>
    <cellStyle name="Normal 2 3 5 7 2 2" xfId="248"/>
    <cellStyle name="Normal 2 3 5 7 2 2 2" xfId="249"/>
    <cellStyle name="Normal 2 3 5 7 2 2 3" xfId="250"/>
    <cellStyle name="Normal 2 3 5 7 3" xfId="251"/>
    <cellStyle name="Normal 2 3 5 7 4" xfId="252"/>
    <cellStyle name="Normal 2 3 5 7 5" xfId="253"/>
    <cellStyle name="Normal 2 3 5 7 6" xfId="254"/>
    <cellStyle name="Normal 2 3 5 7 7" xfId="255"/>
    <cellStyle name="Normal 2 3 5 7 8" xfId="256"/>
    <cellStyle name="Normal 2 3 5 7 8 2" xfId="257"/>
    <cellStyle name="Normal 2 3 5 7 8 3" xfId="258"/>
    <cellStyle name="Normal 2 3 5 7 8 4" xfId="259"/>
    <cellStyle name="Normal 2 3 5 7 8 4 2" xfId="260"/>
    <cellStyle name="Normal 2 3 5 7 8 4 3" xfId="261"/>
    <cellStyle name="Normal 2 3 5 7 8 4 3 2" xfId="262"/>
    <cellStyle name="Normal 2 3 5 7 8 4 3 3" xfId="263"/>
    <cellStyle name="Normal 2 3 5 7 8 4 3 3 2" xfId="264"/>
    <cellStyle name="Normal 2 3 5 7 8 4 4" xfId="265"/>
    <cellStyle name="Normal 2 3 6" xfId="266"/>
    <cellStyle name="Normal 2 3 7" xfId="267"/>
    <cellStyle name="Normal 2 3 8" xfId="268"/>
    <cellStyle name="Normal 2 3 9" xfId="269"/>
    <cellStyle name="Normal 2 4" xfId="71"/>
    <cellStyle name="Normal 2 4 2" xfId="74"/>
    <cellStyle name="Normal 2 4 3" xfId="270"/>
    <cellStyle name="Normal 2 4 4" xfId="271"/>
    <cellStyle name="Normal 2 5" xfId="101"/>
    <cellStyle name="Normal 2 5 2" xfId="102"/>
    <cellStyle name="Normal 2 5 2 2" xfId="103"/>
    <cellStyle name="Normal 2 6" xfId="104"/>
    <cellStyle name="Normal 2 6 2" xfId="105"/>
    <cellStyle name="Normal 2 6 2 2" xfId="106"/>
    <cellStyle name="Normal 2 6 3" xfId="107"/>
    <cellStyle name="Normal 2 6 3 2" xfId="108"/>
    <cellStyle name="Normal 2 6 3 2 2" xfId="109"/>
    <cellStyle name="Normal 2 6 3 2 3" xfId="110"/>
    <cellStyle name="Normal 2 6 3 2 3 2" xfId="111"/>
    <cellStyle name="Normal 2 6 3 2 3 2 2" xfId="112"/>
    <cellStyle name="Normal 2 6 3 2 4" xfId="113"/>
    <cellStyle name="Normal 2 6 3 2 4 2" xfId="114"/>
    <cellStyle name="Normal 2 6 4" xfId="115"/>
    <cellStyle name="Normal 2 6 5" xfId="116"/>
    <cellStyle name="Normal 2 6 5 2" xfId="272"/>
    <cellStyle name="Normal 2 6 6" xfId="117"/>
    <cellStyle name="Normal 2 6 7" xfId="118"/>
    <cellStyle name="Normal 2 6 7 2" xfId="119"/>
    <cellStyle name="Normal 2 6 7 3" xfId="120"/>
    <cellStyle name="Normal 2 6 8" xfId="121"/>
    <cellStyle name="Normal 2 6 8 2" xfId="122"/>
    <cellStyle name="Normal 2 6 8 2 2" xfId="123"/>
    <cellStyle name="Normal 2 6 8 2 3" xfId="124"/>
    <cellStyle name="Normal 2 6 8 2 4" xfId="273"/>
    <cellStyle name="Normal 2 6 8 3" xfId="125"/>
    <cellStyle name="Normal 2 7" xfId="126"/>
    <cellStyle name="Normal 2 7 2" xfId="127"/>
    <cellStyle name="Normal 2 7 3" xfId="128"/>
    <cellStyle name="Normal 2 7 4" xfId="129"/>
    <cellStyle name="Normal 2 8" xfId="130"/>
    <cellStyle name="Normal 2 8 2" xfId="274"/>
    <cellStyle name="Normal 2 8 2 2" xfId="515"/>
    <cellStyle name="Normal 2 8 3" xfId="516"/>
    <cellStyle name="Normal 2 9" xfId="275"/>
    <cellStyle name="Normal 2 9 2" xfId="517"/>
    <cellStyle name="Normal 2 9 2 2" xfId="518"/>
    <cellStyle name="Normal 2 9 3" xfId="519"/>
    <cellStyle name="Normal 2_138-09" xfId="403"/>
    <cellStyle name="Normal 3" xfId="20"/>
    <cellStyle name="Normal 3 2" xfId="21"/>
    <cellStyle name="Normal 3 3" xfId="131"/>
    <cellStyle name="Normal 3 3 2" xfId="404"/>
    <cellStyle name="Normal 3 3 2 2" xfId="520"/>
    <cellStyle name="Normal 3 3 3" xfId="405"/>
    <cellStyle name="Normal 3 4" xfId="406"/>
    <cellStyle name="Normal 3 5" xfId="407"/>
    <cellStyle name="Normal 3 5 2" xfId="408"/>
    <cellStyle name="Normal 3 6" xfId="481"/>
    <cellStyle name="Normal 3_003-10" xfId="409"/>
    <cellStyle name="Normal 4" xfId="72"/>
    <cellStyle name="Normal 4 2" xfId="132"/>
    <cellStyle name="Normal 4 2 2" xfId="521"/>
    <cellStyle name="Normal 4 3" xfId="410"/>
    <cellStyle name="Normal 4 4" xfId="544"/>
    <cellStyle name="Normal 5" xfId="133"/>
    <cellStyle name="Normal 5 2" xfId="276"/>
    <cellStyle name="Normal 5 3" xfId="277"/>
    <cellStyle name="Normal 5 4" xfId="278"/>
    <cellStyle name="Normal 5 5" xfId="279"/>
    <cellStyle name="Normal 5 6" xfId="69"/>
    <cellStyle name="Normal 6" xfId="134"/>
    <cellStyle name="Normal 6 2" xfId="135"/>
    <cellStyle name="Normal 6 2 2" xfId="136"/>
    <cellStyle name="Normal 6 2 2 2" xfId="482"/>
    <cellStyle name="Normal 6 2 3" xfId="483"/>
    <cellStyle name="Normal 6 3" xfId="280"/>
    <cellStyle name="Normal 6 3 2" xfId="522"/>
    <cellStyle name="Normal 6 3 2 2" xfId="523"/>
    <cellStyle name="Normal 6 3 3" xfId="524"/>
    <cellStyle name="Normal 6 4" xfId="281"/>
    <cellStyle name="Normal 6 4 2" xfId="525"/>
    <cellStyle name="Normal 6 4 2 2" xfId="526"/>
    <cellStyle name="Normal 6 4 3" xfId="527"/>
    <cellStyle name="Normal 7" xfId="137"/>
    <cellStyle name="Normal 7 2" xfId="528"/>
    <cellStyle name="Normal 7 2 2" xfId="529"/>
    <cellStyle name="Normal 7 3" xfId="530"/>
    <cellStyle name="Normal 8" xfId="138"/>
    <cellStyle name="Normal 8 2" xfId="139"/>
    <cellStyle name="Normal 8 2 2" xfId="531"/>
    <cellStyle name="Normal 8 3" xfId="140"/>
    <cellStyle name="Normal 8 4" xfId="141"/>
    <cellStyle name="Normal 8 4 2" xfId="142"/>
    <cellStyle name="Normal 8 5" xfId="143"/>
    <cellStyle name="Normal 8 6" xfId="144"/>
    <cellStyle name="Normal 9" xfId="145"/>
    <cellStyle name="Normal 9 2" xfId="532"/>
    <cellStyle name="Normal 9 2 2" xfId="533"/>
    <cellStyle name="Normal 9 3" xfId="534"/>
    <cellStyle name="Normal_016-99 2" xfId="431"/>
    <cellStyle name="Normal_074-04" xfId="295"/>
    <cellStyle name="Normal_099-07" xfId="428"/>
    <cellStyle name="Normal_136-07" xfId="430"/>
    <cellStyle name="Normal_199-04" xfId="427"/>
    <cellStyle name="Normal_Grad. Lim. Auto 1-4" xfId="70"/>
    <cellStyle name="Normal_humedad" xfId="429"/>
    <cellStyle name="Notas 2" xfId="55"/>
    <cellStyle name="Notas 2 2" xfId="66"/>
    <cellStyle name="Note" xfId="411"/>
    <cellStyle name="Output" xfId="412"/>
    <cellStyle name="Output 2" xfId="413"/>
    <cellStyle name="Percen - Modelo3" xfId="282"/>
    <cellStyle name="Percent" xfId="18"/>
    <cellStyle name="Porcentaje 2" xfId="2"/>
    <cellStyle name="Porcentaje 3" xfId="19"/>
    <cellStyle name="Porcentaje 4" xfId="56"/>
    <cellStyle name="Porcentaje 4 2" xfId="67"/>
    <cellStyle name="Porcentaje 4 2 2" xfId="484"/>
    <cellStyle name="Porcentaje 4 3" xfId="485"/>
    <cellStyle name="Porcentaje 5" xfId="414"/>
    <cellStyle name="Porcentaje 5 2" xfId="486"/>
    <cellStyle name="Porcentaje 6" xfId="415"/>
    <cellStyle name="Porcentaje 7" xfId="432"/>
    <cellStyle name="Porcentual 2" xfId="146"/>
    <cellStyle name="Porcentual 2 2" xfId="283"/>
    <cellStyle name="Porcentual 2 2 2" xfId="284"/>
    <cellStyle name="Porcentual 2 2 3" xfId="285"/>
    <cellStyle name="Porcentual 2 2 4" xfId="286"/>
    <cellStyle name="Porcentual 2 2 5" xfId="535"/>
    <cellStyle name="Porcentual 2 2 5 2" xfId="536"/>
    <cellStyle name="Porcentual 2 2 6" xfId="537"/>
    <cellStyle name="Porcentual 2 3" xfId="287"/>
    <cellStyle name="Porcentual 2 4" xfId="288"/>
    <cellStyle name="Porcentual 2 5" xfId="289"/>
    <cellStyle name="Porcentual 2 6" xfId="290"/>
    <cellStyle name="Porcentual 2 7" xfId="291"/>
    <cellStyle name="Porcentual 2 8" xfId="292"/>
    <cellStyle name="Porcentual 2 8 2" xfId="538"/>
    <cellStyle name="Porcentual 2 8 2 2" xfId="539"/>
    <cellStyle name="Porcentual 2 8 3" xfId="540"/>
    <cellStyle name="Porcentual 2 9" xfId="293"/>
    <cellStyle name="Porcentual 2 9 2" xfId="541"/>
    <cellStyle name="Porcentual 2 9 2 2" xfId="542"/>
    <cellStyle name="Porcentual 2 9 3" xfId="543"/>
    <cellStyle name="Porcentual 3" xfId="147"/>
    <cellStyle name="Porcentual 3 2" xfId="148"/>
    <cellStyle name="Porcentual 3 2 2" xfId="487"/>
    <cellStyle name="Porcentual 3 3" xfId="488"/>
    <cellStyle name="Porcentual 4" xfId="149"/>
    <cellStyle name="resaltado" xfId="294"/>
    <cellStyle name="Salida 2" xfId="57"/>
    <cellStyle name="Salida 2 2" xfId="416"/>
    <cellStyle name="Texto de advertencia 2" xfId="58"/>
    <cellStyle name="Texto de advertencia 2 2" xfId="417"/>
    <cellStyle name="Texto explicativo 2" xfId="59"/>
    <cellStyle name="Texto explicativo 2 2" xfId="418"/>
    <cellStyle name="Title" xfId="419"/>
    <cellStyle name="Title 2" xfId="420"/>
    <cellStyle name="Título 1 2" xfId="61"/>
    <cellStyle name="Título 1 2 2" xfId="421"/>
    <cellStyle name="Título 2 2" xfId="62"/>
    <cellStyle name="Título 2 2 2" xfId="422"/>
    <cellStyle name="Título 3 2" xfId="63"/>
    <cellStyle name="Título 3 2 2" xfId="423"/>
    <cellStyle name="Título 4" xfId="60"/>
    <cellStyle name="Título 4 2" xfId="424"/>
    <cellStyle name="Total 2" xfId="64"/>
    <cellStyle name="Warning Text" xfId="425"/>
    <cellStyle name="Warning Text 2" xfId="426"/>
  </cellStyles>
  <dxfs count="0"/>
  <tableStyles count="0" defaultTableStyle="TableStyleMedium2" defaultPivotStyle="PivotStyleLight16"/>
  <colors>
    <mruColors>
      <color rgb="FF004C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18280282348346"/>
          <c:y val="4.0906671118408122E-2"/>
          <c:w val="0.86332141926490868"/>
          <c:h val="0.83155393561670521"/>
        </c:manualLayout>
      </c:layout>
      <c:scatterChart>
        <c:scatterStyle val="lineMarker"/>
        <c:varyColors val="0"/>
        <c:ser>
          <c:idx val="0"/>
          <c:order val="0"/>
          <c:spPr>
            <a:ln w="19050"/>
          </c:spPr>
          <c:marker>
            <c:symbol val="diamond"/>
            <c:size val="5"/>
            <c:spPr>
              <a:noFill/>
            </c:spPr>
          </c:marker>
          <c:xVal>
            <c:numRef>
              <c:f>'Microdeval '!$AL$6:$AL$24</c:f>
              <c:numCache>
                <c:formatCode>General</c:formatCode>
                <c:ptCount val="19"/>
                <c:pt idx="0">
                  <c:v>1</c:v>
                </c:pt>
                <c:pt idx="1">
                  <c:v>2</c:v>
                </c:pt>
                <c:pt idx="2">
                  <c:v>3</c:v>
                </c:pt>
                <c:pt idx="3">
                  <c:v>4</c:v>
                </c:pt>
                <c:pt idx="4">
                  <c:v>5</c:v>
                </c:pt>
                <c:pt idx="5">
                  <c:v>6</c:v>
                </c:pt>
                <c:pt idx="6">
                  <c:v>8</c:v>
                </c:pt>
                <c:pt idx="7">
                  <c:v>9</c:v>
                </c:pt>
                <c:pt idx="8">
                  <c:v>10</c:v>
                </c:pt>
                <c:pt idx="9">
                  <c:v>11</c:v>
                </c:pt>
                <c:pt idx="10">
                  <c:v>12</c:v>
                </c:pt>
                <c:pt idx="11">
                  <c:v>14</c:v>
                </c:pt>
                <c:pt idx="12">
                  <c:v>15</c:v>
                </c:pt>
                <c:pt idx="13">
                  <c:v>16</c:v>
                </c:pt>
                <c:pt idx="14">
                  <c:v>17</c:v>
                </c:pt>
                <c:pt idx="15">
                  <c:v>18</c:v>
                </c:pt>
                <c:pt idx="16">
                  <c:v>19</c:v>
                </c:pt>
                <c:pt idx="17">
                  <c:v>20</c:v>
                </c:pt>
              </c:numCache>
            </c:numRef>
          </c:xVal>
          <c:yVal>
            <c:numRef>
              <c:f>'Microdeval '!$AP$6:$AP$24</c:f>
              <c:numCache>
                <c:formatCode>General</c:formatCode>
                <c:ptCount val="19"/>
                <c:pt idx="0">
                  <c:v>18.3</c:v>
                </c:pt>
                <c:pt idx="1">
                  <c:v>17.8</c:v>
                </c:pt>
                <c:pt idx="2">
                  <c:v>18</c:v>
                </c:pt>
                <c:pt idx="3">
                  <c:v>19.5</c:v>
                </c:pt>
                <c:pt idx="4">
                  <c:v>18.100000000000001</c:v>
                </c:pt>
                <c:pt idx="5">
                  <c:v>18.7</c:v>
                </c:pt>
                <c:pt idx="6">
                  <c:v>17.7</c:v>
                </c:pt>
                <c:pt idx="7">
                  <c:v>18.2</c:v>
                </c:pt>
                <c:pt idx="8">
                  <c:v>18.399999999999999</c:v>
                </c:pt>
                <c:pt idx="9">
                  <c:v>17.8</c:v>
                </c:pt>
                <c:pt idx="10">
                  <c:v>19.100000000000001</c:v>
                </c:pt>
                <c:pt idx="11">
                  <c:v>19.3</c:v>
                </c:pt>
                <c:pt idx="12" formatCode="0.0">
                  <c:v>18.8</c:v>
                </c:pt>
                <c:pt idx="13" formatCode="0.0">
                  <c:v>18</c:v>
                </c:pt>
                <c:pt idx="14" formatCode="0.0">
                  <c:v>19.2</c:v>
                </c:pt>
                <c:pt idx="15" formatCode="0.0">
                  <c:v>17.899999999999999</c:v>
                </c:pt>
                <c:pt idx="16" formatCode="0.0">
                  <c:v>20.100000000000001</c:v>
                </c:pt>
                <c:pt idx="17" formatCode="0.0">
                  <c:v>17.899999999999999</c:v>
                </c:pt>
              </c:numCache>
            </c:numRef>
          </c:yVal>
          <c:smooth val="0"/>
          <c:extLst>
            <c:ext xmlns:c16="http://schemas.microsoft.com/office/drawing/2014/chart" uri="{C3380CC4-5D6E-409C-BE32-E72D297353CC}">
              <c16:uniqueId val="{00000000-B643-49EC-8347-00009170B4AD}"/>
            </c:ext>
          </c:extLst>
        </c:ser>
        <c:ser>
          <c:idx val="1"/>
          <c:order val="1"/>
          <c:spPr>
            <a:ln w="12700">
              <a:solidFill>
                <a:srgbClr val="00B050"/>
              </a:solidFill>
            </a:ln>
          </c:spPr>
          <c:marker>
            <c:symbol val="none"/>
          </c:marker>
          <c:xVal>
            <c:numRef>
              <c:f>'Microdeval '!$AL$6:$AL$24</c:f>
              <c:numCache>
                <c:formatCode>General</c:formatCode>
                <c:ptCount val="19"/>
                <c:pt idx="0">
                  <c:v>1</c:v>
                </c:pt>
                <c:pt idx="1">
                  <c:v>2</c:v>
                </c:pt>
                <c:pt idx="2">
                  <c:v>3</c:v>
                </c:pt>
                <c:pt idx="3">
                  <c:v>4</c:v>
                </c:pt>
                <c:pt idx="4">
                  <c:v>5</c:v>
                </c:pt>
                <c:pt idx="5">
                  <c:v>6</c:v>
                </c:pt>
                <c:pt idx="6">
                  <c:v>8</c:v>
                </c:pt>
                <c:pt idx="7">
                  <c:v>9</c:v>
                </c:pt>
                <c:pt idx="8">
                  <c:v>10</c:v>
                </c:pt>
                <c:pt idx="9">
                  <c:v>11</c:v>
                </c:pt>
                <c:pt idx="10">
                  <c:v>12</c:v>
                </c:pt>
                <c:pt idx="11">
                  <c:v>14</c:v>
                </c:pt>
                <c:pt idx="12">
                  <c:v>15</c:v>
                </c:pt>
                <c:pt idx="13">
                  <c:v>16</c:v>
                </c:pt>
                <c:pt idx="14">
                  <c:v>17</c:v>
                </c:pt>
                <c:pt idx="15">
                  <c:v>18</c:v>
                </c:pt>
                <c:pt idx="16">
                  <c:v>19</c:v>
                </c:pt>
                <c:pt idx="17">
                  <c:v>20</c:v>
                </c:pt>
              </c:numCache>
            </c:numRef>
          </c:xVal>
          <c:yVal>
            <c:numRef>
              <c:f>'Microdeval '!$AQ$6:$AQ$24</c:f>
              <c:numCache>
                <c:formatCode>General</c:formatCode>
                <c:ptCount val="19"/>
                <c:pt idx="0">
                  <c:v>18.399999999999999</c:v>
                </c:pt>
                <c:pt idx="1">
                  <c:v>18.399999999999999</c:v>
                </c:pt>
                <c:pt idx="2">
                  <c:v>18.399999999999999</c:v>
                </c:pt>
                <c:pt idx="3">
                  <c:v>18.399999999999999</c:v>
                </c:pt>
                <c:pt idx="4">
                  <c:v>18.399999999999999</c:v>
                </c:pt>
                <c:pt idx="5">
                  <c:v>18.399999999999999</c:v>
                </c:pt>
                <c:pt idx="6">
                  <c:v>18.399999999999999</c:v>
                </c:pt>
                <c:pt idx="7">
                  <c:v>18.399999999999999</c:v>
                </c:pt>
                <c:pt idx="8">
                  <c:v>18.399999999999999</c:v>
                </c:pt>
                <c:pt idx="9">
                  <c:v>18.399999999999999</c:v>
                </c:pt>
                <c:pt idx="10">
                  <c:v>18.399999999999999</c:v>
                </c:pt>
                <c:pt idx="11">
                  <c:v>18.399999999999999</c:v>
                </c:pt>
                <c:pt idx="12">
                  <c:v>18.399999999999999</c:v>
                </c:pt>
                <c:pt idx="13">
                  <c:v>18.399999999999999</c:v>
                </c:pt>
                <c:pt idx="14">
                  <c:v>18.399999999999999</c:v>
                </c:pt>
                <c:pt idx="15">
                  <c:v>18.399999999999999</c:v>
                </c:pt>
                <c:pt idx="16">
                  <c:v>18.399999999999999</c:v>
                </c:pt>
                <c:pt idx="17">
                  <c:v>18.399999999999999</c:v>
                </c:pt>
              </c:numCache>
            </c:numRef>
          </c:yVal>
          <c:smooth val="0"/>
          <c:extLst>
            <c:ext xmlns:c16="http://schemas.microsoft.com/office/drawing/2014/chart" uri="{C3380CC4-5D6E-409C-BE32-E72D297353CC}">
              <c16:uniqueId val="{00000001-B643-49EC-8347-00009170B4AD}"/>
            </c:ext>
          </c:extLst>
        </c:ser>
        <c:ser>
          <c:idx val="2"/>
          <c:order val="2"/>
          <c:spPr>
            <a:ln w="12700">
              <a:solidFill>
                <a:srgbClr val="FF0000"/>
              </a:solidFill>
            </a:ln>
          </c:spPr>
          <c:marker>
            <c:symbol val="none"/>
          </c:marker>
          <c:xVal>
            <c:numRef>
              <c:f>'Microdeval '!$AL$6:$AL$24</c:f>
              <c:numCache>
                <c:formatCode>General</c:formatCode>
                <c:ptCount val="19"/>
                <c:pt idx="0">
                  <c:v>1</c:v>
                </c:pt>
                <c:pt idx="1">
                  <c:v>2</c:v>
                </c:pt>
                <c:pt idx="2">
                  <c:v>3</c:v>
                </c:pt>
                <c:pt idx="3">
                  <c:v>4</c:v>
                </c:pt>
                <c:pt idx="4">
                  <c:v>5</c:v>
                </c:pt>
                <c:pt idx="5">
                  <c:v>6</c:v>
                </c:pt>
                <c:pt idx="6">
                  <c:v>8</c:v>
                </c:pt>
                <c:pt idx="7">
                  <c:v>9</c:v>
                </c:pt>
                <c:pt idx="8">
                  <c:v>10</c:v>
                </c:pt>
                <c:pt idx="9">
                  <c:v>11</c:v>
                </c:pt>
                <c:pt idx="10">
                  <c:v>12</c:v>
                </c:pt>
                <c:pt idx="11">
                  <c:v>14</c:v>
                </c:pt>
                <c:pt idx="12">
                  <c:v>15</c:v>
                </c:pt>
                <c:pt idx="13">
                  <c:v>16</c:v>
                </c:pt>
                <c:pt idx="14">
                  <c:v>17</c:v>
                </c:pt>
                <c:pt idx="15">
                  <c:v>18</c:v>
                </c:pt>
                <c:pt idx="16">
                  <c:v>19</c:v>
                </c:pt>
                <c:pt idx="17">
                  <c:v>20</c:v>
                </c:pt>
              </c:numCache>
            </c:numRef>
          </c:xVal>
          <c:yVal>
            <c:numRef>
              <c:f>'Microdeval '!$AR$6:$AR$24</c:f>
              <c:numCache>
                <c:formatCode>General</c:formatCode>
                <c:ptCount val="19"/>
                <c:pt idx="0">
                  <c:v>17.5</c:v>
                </c:pt>
                <c:pt idx="1">
                  <c:v>17.5</c:v>
                </c:pt>
                <c:pt idx="2">
                  <c:v>17.5</c:v>
                </c:pt>
                <c:pt idx="3">
                  <c:v>17.5</c:v>
                </c:pt>
                <c:pt idx="4">
                  <c:v>17.5</c:v>
                </c:pt>
                <c:pt idx="5">
                  <c:v>17.5</c:v>
                </c:pt>
                <c:pt idx="6">
                  <c:v>17.5</c:v>
                </c:pt>
                <c:pt idx="7">
                  <c:v>17.5</c:v>
                </c:pt>
                <c:pt idx="8">
                  <c:v>17.5</c:v>
                </c:pt>
                <c:pt idx="9">
                  <c:v>17.5</c:v>
                </c:pt>
                <c:pt idx="10">
                  <c:v>17.5</c:v>
                </c:pt>
                <c:pt idx="11">
                  <c:v>17.5</c:v>
                </c:pt>
                <c:pt idx="12">
                  <c:v>17.5</c:v>
                </c:pt>
                <c:pt idx="13">
                  <c:v>17.5</c:v>
                </c:pt>
                <c:pt idx="14">
                  <c:v>17.5</c:v>
                </c:pt>
                <c:pt idx="15">
                  <c:v>17.5</c:v>
                </c:pt>
                <c:pt idx="16">
                  <c:v>17.5</c:v>
                </c:pt>
                <c:pt idx="17">
                  <c:v>17.5</c:v>
                </c:pt>
              </c:numCache>
            </c:numRef>
          </c:yVal>
          <c:smooth val="0"/>
          <c:extLst>
            <c:ext xmlns:c16="http://schemas.microsoft.com/office/drawing/2014/chart" uri="{C3380CC4-5D6E-409C-BE32-E72D297353CC}">
              <c16:uniqueId val="{00000002-B643-49EC-8347-00009170B4AD}"/>
            </c:ext>
          </c:extLst>
        </c:ser>
        <c:ser>
          <c:idx val="3"/>
          <c:order val="3"/>
          <c:spPr>
            <a:ln w="12700">
              <a:solidFill>
                <a:srgbClr val="FF0000"/>
              </a:solidFill>
            </a:ln>
          </c:spPr>
          <c:marker>
            <c:symbol val="none"/>
          </c:marker>
          <c:xVal>
            <c:numRef>
              <c:f>'Microdeval '!$AL$6:$AL$24</c:f>
              <c:numCache>
                <c:formatCode>General</c:formatCode>
                <c:ptCount val="19"/>
                <c:pt idx="0">
                  <c:v>1</c:v>
                </c:pt>
                <c:pt idx="1">
                  <c:v>2</c:v>
                </c:pt>
                <c:pt idx="2">
                  <c:v>3</c:v>
                </c:pt>
                <c:pt idx="3">
                  <c:v>4</c:v>
                </c:pt>
                <c:pt idx="4">
                  <c:v>5</c:v>
                </c:pt>
                <c:pt idx="5">
                  <c:v>6</c:v>
                </c:pt>
                <c:pt idx="6">
                  <c:v>8</c:v>
                </c:pt>
                <c:pt idx="7">
                  <c:v>9</c:v>
                </c:pt>
                <c:pt idx="8">
                  <c:v>10</c:v>
                </c:pt>
                <c:pt idx="9">
                  <c:v>11</c:v>
                </c:pt>
                <c:pt idx="10">
                  <c:v>12</c:v>
                </c:pt>
                <c:pt idx="11">
                  <c:v>14</c:v>
                </c:pt>
                <c:pt idx="12">
                  <c:v>15</c:v>
                </c:pt>
                <c:pt idx="13">
                  <c:v>16</c:v>
                </c:pt>
                <c:pt idx="14">
                  <c:v>17</c:v>
                </c:pt>
                <c:pt idx="15">
                  <c:v>18</c:v>
                </c:pt>
                <c:pt idx="16">
                  <c:v>19</c:v>
                </c:pt>
                <c:pt idx="17">
                  <c:v>20</c:v>
                </c:pt>
              </c:numCache>
            </c:numRef>
          </c:xVal>
          <c:yVal>
            <c:numRef>
              <c:f>'Microdeval '!$AS$6:$AS$24</c:f>
              <c:numCache>
                <c:formatCode>General</c:formatCode>
                <c:ptCount val="19"/>
                <c:pt idx="0">
                  <c:v>20.7</c:v>
                </c:pt>
                <c:pt idx="1">
                  <c:v>20.7</c:v>
                </c:pt>
                <c:pt idx="2">
                  <c:v>20.7</c:v>
                </c:pt>
                <c:pt idx="3">
                  <c:v>20.7</c:v>
                </c:pt>
                <c:pt idx="4">
                  <c:v>20.7</c:v>
                </c:pt>
                <c:pt idx="5">
                  <c:v>20.7</c:v>
                </c:pt>
                <c:pt idx="6">
                  <c:v>20.7</c:v>
                </c:pt>
                <c:pt idx="7">
                  <c:v>20.7</c:v>
                </c:pt>
                <c:pt idx="8">
                  <c:v>20.7</c:v>
                </c:pt>
                <c:pt idx="9">
                  <c:v>20.7</c:v>
                </c:pt>
                <c:pt idx="10">
                  <c:v>20.7</c:v>
                </c:pt>
                <c:pt idx="11">
                  <c:v>20.7</c:v>
                </c:pt>
                <c:pt idx="12">
                  <c:v>20.7</c:v>
                </c:pt>
                <c:pt idx="13">
                  <c:v>20.7</c:v>
                </c:pt>
                <c:pt idx="14">
                  <c:v>20.7</c:v>
                </c:pt>
                <c:pt idx="15">
                  <c:v>20.7</c:v>
                </c:pt>
                <c:pt idx="16">
                  <c:v>20.7</c:v>
                </c:pt>
                <c:pt idx="17">
                  <c:v>20.7</c:v>
                </c:pt>
              </c:numCache>
            </c:numRef>
          </c:yVal>
          <c:smooth val="0"/>
          <c:extLst>
            <c:ext xmlns:c16="http://schemas.microsoft.com/office/drawing/2014/chart" uri="{C3380CC4-5D6E-409C-BE32-E72D297353CC}">
              <c16:uniqueId val="{00000003-B643-49EC-8347-00009170B4AD}"/>
            </c:ext>
          </c:extLst>
        </c:ser>
        <c:dLbls>
          <c:showLegendKey val="0"/>
          <c:showVal val="0"/>
          <c:showCatName val="0"/>
          <c:showSerName val="0"/>
          <c:showPercent val="0"/>
          <c:showBubbleSize val="0"/>
        </c:dLbls>
        <c:axId val="-1534246928"/>
        <c:axId val="-1534232240"/>
      </c:scatterChart>
      <c:valAx>
        <c:axId val="-1534246928"/>
        <c:scaling>
          <c:orientation val="minMax"/>
          <c:max val="20"/>
          <c:min val="0"/>
        </c:scaling>
        <c:delete val="0"/>
        <c:axPos val="b"/>
        <c:title>
          <c:tx>
            <c:rich>
              <a:bodyPr/>
              <a:lstStyle/>
              <a:p>
                <a:pPr>
                  <a:defRPr sz="900" b="1" i="0" u="none" strike="noStrike" baseline="0">
                    <a:solidFill>
                      <a:srgbClr val="000000"/>
                    </a:solidFill>
                    <a:latin typeface="Arial"/>
                    <a:ea typeface="Arial"/>
                    <a:cs typeface="Arial"/>
                  </a:defRPr>
                </a:pPr>
                <a:r>
                  <a:rPr lang="es-CO" sz="900"/>
                  <a:t>N° de prueba</a:t>
                </a:r>
              </a:p>
            </c:rich>
          </c:tx>
          <c:layout>
            <c:manualLayout>
              <c:xMode val="edge"/>
              <c:yMode val="edge"/>
              <c:x val="0.45089329874228151"/>
              <c:y val="0.93625834375159933"/>
            </c:manualLayout>
          </c:layout>
          <c:overlay val="0"/>
          <c:spPr>
            <a:noFill/>
            <a:ln w="25400">
              <a:noFill/>
            </a:ln>
          </c:spPr>
        </c:title>
        <c:numFmt formatCode="#,##0.0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2240"/>
        <c:crosses val="autoZero"/>
        <c:crossBetween val="midCat"/>
      </c:valAx>
      <c:valAx>
        <c:axId val="-1534232240"/>
        <c:scaling>
          <c:orientation val="minMax"/>
          <c:max val="21"/>
          <c:min val="17"/>
        </c:scaling>
        <c:delete val="0"/>
        <c:axPos val="l"/>
        <c:majorGridlines>
          <c:spPr>
            <a:ln w="3175">
              <a:solidFill>
                <a:schemeClr val="bg1">
                  <a:lumMod val="50000"/>
                </a:schemeClr>
              </a:solidFill>
              <a:prstDash val="solid"/>
            </a:ln>
          </c:spPr>
        </c:majorGridlines>
        <c:title>
          <c:tx>
            <c:rich>
              <a:bodyPr/>
              <a:lstStyle/>
              <a:p>
                <a:pPr>
                  <a:defRPr sz="900" b="1" i="0" u="none" strike="noStrike" baseline="0">
                    <a:solidFill>
                      <a:srgbClr val="000000"/>
                    </a:solidFill>
                    <a:latin typeface="Arial"/>
                    <a:ea typeface="Arial"/>
                    <a:cs typeface="Arial"/>
                  </a:defRPr>
                </a:pPr>
                <a:r>
                  <a:rPr lang="es-CO" sz="900"/>
                  <a:t>Pérdida</a:t>
                </a:r>
                <a:r>
                  <a:rPr lang="es-CO" sz="900" baseline="0"/>
                  <a:t> por abrasión Micro-Deval, </a:t>
                </a:r>
                <a:r>
                  <a:rPr lang="es-CO" sz="900"/>
                  <a:t>% </a:t>
                </a:r>
              </a:p>
            </c:rich>
          </c:tx>
          <c:layout>
            <c:manualLayout>
              <c:xMode val="edge"/>
              <c:yMode val="edge"/>
              <c:x val="2.0712209563175588E-2"/>
              <c:y val="0.2544569766617010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46928"/>
        <c:crosses val="autoZero"/>
        <c:crossBetween val="midCat"/>
      </c:valAx>
      <c:spPr>
        <a:noFill/>
        <a:ln w="25400">
          <a:noFill/>
        </a:ln>
      </c:spPr>
    </c:plotArea>
    <c:plotVisOnly val="1"/>
    <c:dispBlanksAs val="gap"/>
    <c:showDLblsOverMax val="0"/>
  </c:chart>
  <c:spPr>
    <a:solidFill>
      <a:schemeClr val="bg1">
        <a:alpha val="95000"/>
      </a:schemeClr>
    </a:solidFill>
    <a:ln w="3175">
      <a:noFill/>
      <a:prstDash val="solid"/>
    </a:ln>
    <a:effectLst>
      <a:softEdge rad="31750"/>
    </a:effectLst>
    <a:scene3d>
      <a:camera prst="orthographicFront"/>
      <a:lightRig rig="threePt" dir="t"/>
    </a:scene3d>
    <a:sp3d>
      <a:bevelT/>
      <a:bevelB w="152400" h="50800" prst="softRound"/>
    </a:sp3d>
  </c:spPr>
  <c:txPr>
    <a:bodyPr/>
    <a:lstStyle/>
    <a:p>
      <a:pPr>
        <a:defRPr sz="80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9" orientation="landscape" horizontalDpi="0"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s-CO"/>
              <a:t>CBR vs. DENSIDAD</a:t>
            </a:r>
            <a:r>
              <a:rPr lang="es-CO" baseline="0"/>
              <a:t> </a:t>
            </a:r>
            <a:r>
              <a:rPr lang="es-CO"/>
              <a:t>A 0,2"</a:t>
            </a:r>
          </a:p>
        </c:rich>
      </c:tx>
      <c:layout>
        <c:manualLayout>
          <c:xMode val="edge"/>
          <c:yMode val="edge"/>
          <c:x val="0.27009689209409582"/>
          <c:y val="2.0266570913163542E-2"/>
        </c:manualLayout>
      </c:layout>
      <c:overlay val="0"/>
      <c:spPr>
        <a:noFill/>
        <a:ln w="25400">
          <a:noFill/>
        </a:ln>
      </c:spPr>
    </c:title>
    <c:autoTitleDeleted val="0"/>
    <c:plotArea>
      <c:layout>
        <c:manualLayout>
          <c:layoutTarget val="inner"/>
          <c:xMode val="edge"/>
          <c:yMode val="edge"/>
          <c:x val="0.14246918502276207"/>
          <c:y val="9.3511503244504857E-2"/>
          <c:w val="0.80898102927007565"/>
          <c:h val="0.7837335316798858"/>
        </c:manualLayout>
      </c:layout>
      <c:scatterChart>
        <c:scatterStyle val="line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CBR 1'!$AW$29:$AY$29</c:f>
            </c:numRef>
          </c:xVal>
          <c:yVal>
            <c:numRef>
              <c:f>' CBR 1'!$AW$26:$AY$26</c:f>
              <c:numCache>
                <c:formatCode>0</c:formatCode>
                <c:ptCount val="3"/>
                <c:pt idx="0">
                  <c:v>0</c:v>
                </c:pt>
                <c:pt idx="1">
                  <c:v>0</c:v>
                </c:pt>
                <c:pt idx="2">
                  <c:v>0</c:v>
                </c:pt>
              </c:numCache>
            </c:numRef>
          </c:yVal>
          <c:smooth val="0"/>
          <c:extLst>
            <c:ext xmlns:c16="http://schemas.microsoft.com/office/drawing/2014/chart" uri="{C3380CC4-5D6E-409C-BE32-E72D297353CC}">
              <c16:uniqueId val="{00000000-6029-4CDB-9F4D-DDBF704FA4E6}"/>
            </c:ext>
          </c:extLst>
        </c:ser>
        <c:dLbls>
          <c:showLegendKey val="0"/>
          <c:showVal val="0"/>
          <c:showCatName val="0"/>
          <c:showSerName val="0"/>
          <c:showPercent val="0"/>
          <c:showBubbleSize val="0"/>
        </c:dLbls>
        <c:axId val="-1529578704"/>
        <c:axId val="-1529583600"/>
      </c:scatterChart>
      <c:valAx>
        <c:axId val="-1529578704"/>
        <c:scaling>
          <c:orientation val="minMax"/>
          <c:max val="120"/>
          <c:min val="10"/>
        </c:scaling>
        <c:delete val="0"/>
        <c:axPos val="b"/>
        <c:majorGridlines>
          <c:spPr>
            <a:ln w="3175">
              <a:solidFill>
                <a:schemeClr val="bg1">
                  <a:lumMod val="50000"/>
                </a:schemeClr>
              </a:solidFill>
              <a:prstDash val="solid"/>
            </a:ln>
          </c:spPr>
        </c:majorGridlines>
        <c:title>
          <c:tx>
            <c:rich>
              <a:bodyPr/>
              <a:lstStyle/>
              <a:p>
                <a:pPr>
                  <a:defRPr sz="700" b="1" i="0" u="none" strike="noStrike" baseline="0">
                    <a:solidFill>
                      <a:srgbClr val="000000"/>
                    </a:solidFill>
                    <a:latin typeface="Arial"/>
                    <a:ea typeface="Arial"/>
                    <a:cs typeface="Arial"/>
                  </a:defRPr>
                </a:pPr>
                <a:r>
                  <a:rPr lang="es-CO" sz="700"/>
                  <a:t>Densida</a:t>
                </a:r>
                <a:r>
                  <a:rPr lang="es-CO" sz="700" baseline="0"/>
                  <a:t> kg/m³</a:t>
                </a:r>
                <a:r>
                  <a:rPr lang="es-CO" sz="700"/>
                  <a:t> </a:t>
                </a:r>
              </a:p>
            </c:rich>
          </c:tx>
          <c:layout>
            <c:manualLayout>
              <c:xMode val="edge"/>
              <c:yMode val="edge"/>
              <c:x val="0.52478060939047955"/>
              <c:y val="0.9372251870898046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s-CO"/>
          </a:p>
        </c:txPr>
        <c:crossAx val="-1529583600"/>
        <c:crosses val="autoZero"/>
        <c:crossBetween val="midCat"/>
        <c:majorUnit val="10"/>
        <c:minorUnit val="1"/>
      </c:valAx>
      <c:valAx>
        <c:axId val="-1529583600"/>
        <c:scaling>
          <c:orientation val="minMax"/>
          <c:min val="1960"/>
        </c:scaling>
        <c:delete val="0"/>
        <c:axPos val="l"/>
        <c:majorGridlines>
          <c:spPr>
            <a:ln w="3175">
              <a:solidFill>
                <a:schemeClr val="bg1">
                  <a:lumMod val="50000"/>
                </a:schemeClr>
              </a:solidFill>
              <a:prstDash val="solid"/>
            </a:ln>
          </c:spPr>
        </c:majorGridlines>
        <c:title>
          <c:tx>
            <c:rich>
              <a:bodyPr/>
              <a:lstStyle/>
              <a:p>
                <a:pPr>
                  <a:defRPr sz="700" b="0" i="0" u="none" strike="noStrike" baseline="0">
                    <a:solidFill>
                      <a:srgbClr val="000000"/>
                    </a:solidFill>
                    <a:latin typeface="Calibri"/>
                    <a:ea typeface="Calibri"/>
                    <a:cs typeface="Calibri"/>
                  </a:defRPr>
                </a:pPr>
                <a:r>
                  <a:rPr lang="es-CO" sz="700" b="1" i="0" u="none" strike="noStrike" baseline="0">
                    <a:solidFill>
                      <a:srgbClr val="000000"/>
                    </a:solidFill>
                    <a:latin typeface="Arial"/>
                    <a:cs typeface="Arial"/>
                  </a:rPr>
                  <a:t>CBR </a:t>
                </a:r>
                <a:endParaRPr lang="es-CO" sz="700" b="1" i="0" u="none" strike="noStrike" baseline="30000">
                  <a:solidFill>
                    <a:srgbClr val="000000"/>
                  </a:solidFill>
                  <a:latin typeface="Arial"/>
                  <a:cs typeface="Arial"/>
                </a:endParaRPr>
              </a:p>
            </c:rich>
          </c:tx>
          <c:layout>
            <c:manualLayout>
              <c:xMode val="edge"/>
              <c:yMode val="edge"/>
              <c:x val="2.3494632538388988E-2"/>
              <c:y val="0.37154016488430563"/>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500" b="0" i="0" u="none" strike="noStrike" baseline="0">
                <a:solidFill>
                  <a:srgbClr val="000000"/>
                </a:solidFill>
                <a:latin typeface="Arial"/>
                <a:ea typeface="Arial"/>
                <a:cs typeface="Arial"/>
              </a:defRPr>
            </a:pPr>
            <a:endParaRPr lang="es-CO"/>
          </a:p>
        </c:txPr>
        <c:crossAx val="-1529578704"/>
        <c:crosses val="autoZero"/>
        <c:crossBetween val="midCat"/>
        <c:majorUnit val="20"/>
        <c:minorUnit val="2"/>
      </c:valAx>
      <c:spPr>
        <a:solidFill>
          <a:srgbClr val="FFFFFF"/>
        </a:solidFill>
        <a:ln w="12700">
          <a:solidFill>
            <a:srgbClr val="808080"/>
          </a:solidFill>
          <a:prstDash val="solid"/>
        </a:ln>
      </c:spPr>
    </c:plotArea>
    <c:plotVisOnly val="1"/>
    <c:dispBlanksAs val="gap"/>
    <c:showDLblsOverMax val="0"/>
  </c:chart>
  <c:spPr>
    <a:solidFill>
      <a:srgbClr val="FFFFFF"/>
    </a:solidFill>
    <a:ln w="3175">
      <a:solidFill>
        <a:schemeClr val="bg1">
          <a:lumMod val="50000"/>
        </a:schemeClr>
      </a:solidFill>
      <a:prstDash val="solid"/>
    </a:ln>
    <a:effectLst>
      <a:outerShdw blurRad="50800" dist="50800" dir="5400000" algn="ctr" rotWithShape="0">
        <a:srgbClr val="000000">
          <a:alpha val="95000"/>
        </a:srgbClr>
      </a:outerShdw>
      <a:softEdge rad="63500"/>
    </a:effectLst>
    <a:scene3d>
      <a:camera prst="orthographicFront"/>
      <a:lightRig rig="threePt" dir="t"/>
    </a:scene3d>
    <a:sp3d prstMaterial="matte"/>
  </c:spPr>
  <c:txPr>
    <a:bodyPr/>
    <a:lstStyle/>
    <a:p>
      <a:pPr>
        <a:defRPr sz="1150" b="0" i="0" u="none" strike="noStrike" baseline="0">
          <a:solidFill>
            <a:srgbClr val="000000"/>
          </a:solidFill>
          <a:latin typeface="Arial"/>
          <a:ea typeface="Arial"/>
          <a:cs typeface="Arial"/>
        </a:defRPr>
      </a:pPr>
      <a:endParaRPr lang="es-CO"/>
    </a:p>
  </c:txPr>
  <c:printSettings>
    <c:headerFooter alignWithMargins="0"/>
    <c:pageMargins b="1" l="0.7500000000000101" r="0.7500000000000101" t="1" header="0" footer="0"/>
    <c:pageSetup paperSize="256" orientation="landscape" horizontalDpi="360" verticalDpi="36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a:ea typeface="Arial"/>
                <a:cs typeface="Arial"/>
              </a:defRPr>
            </a:pPr>
            <a:r>
              <a:rPr lang="es-CO"/>
              <a:t>CBR vs. DENSIDAD</a:t>
            </a:r>
            <a:r>
              <a:rPr lang="es-CO" baseline="0"/>
              <a:t> </a:t>
            </a:r>
            <a:r>
              <a:rPr lang="es-CO"/>
              <a:t>A 0,2"</a:t>
            </a:r>
          </a:p>
        </c:rich>
      </c:tx>
      <c:layout>
        <c:manualLayout>
          <c:xMode val="edge"/>
          <c:yMode val="edge"/>
          <c:x val="0.25743878534170889"/>
          <c:y val="2.0266760335255467E-2"/>
        </c:manualLayout>
      </c:layout>
      <c:overlay val="0"/>
      <c:spPr>
        <a:noFill/>
        <a:ln w="25400">
          <a:noFill/>
        </a:ln>
      </c:spPr>
    </c:title>
    <c:autoTitleDeleted val="0"/>
    <c:plotArea>
      <c:layout>
        <c:manualLayout>
          <c:layoutTarget val="inner"/>
          <c:xMode val="edge"/>
          <c:yMode val="edge"/>
          <c:x val="0.13949486604735145"/>
          <c:y val="9.3511444987460599E-2"/>
          <c:w val="0.80491588089242649"/>
          <c:h val="0.78373353167988546"/>
        </c:manualLayout>
      </c:layout>
      <c:scatterChart>
        <c:scatterStyle val="lineMarker"/>
        <c:varyColors val="0"/>
        <c:ser>
          <c:idx val="0"/>
          <c:order val="0"/>
          <c:spPr>
            <a:ln w="15875">
              <a:solidFill>
                <a:srgbClr val="000080"/>
              </a:solidFill>
              <a:prstDash val="solid"/>
            </a:ln>
          </c:spPr>
          <c:marker>
            <c:symbol val="diamond"/>
            <c:size val="5"/>
          </c:marker>
          <c:xVal>
            <c:numRef>
              <c:f>' CBR (2)'!$F$26:$H$26</c:f>
            </c:numRef>
          </c:xVal>
          <c:yVal>
            <c:numRef>
              <c:f>' CBR (2)'!$F$29:$H$29</c:f>
              <c:numCache>
                <c:formatCode>0</c:formatCode>
                <c:ptCount val="3"/>
                <c:pt idx="0">
                  <c:v>0</c:v>
                </c:pt>
                <c:pt idx="1">
                  <c:v>0</c:v>
                </c:pt>
                <c:pt idx="2">
                  <c:v>0</c:v>
                </c:pt>
              </c:numCache>
            </c:numRef>
          </c:yVal>
          <c:smooth val="0"/>
          <c:extLst>
            <c:ext xmlns:c16="http://schemas.microsoft.com/office/drawing/2014/chart" uri="{C3380CC4-5D6E-409C-BE32-E72D297353CC}">
              <c16:uniqueId val="{00000000-D384-4DA4-8E47-CD187A0C9CD7}"/>
            </c:ext>
          </c:extLst>
        </c:ser>
        <c:dLbls>
          <c:showLegendKey val="0"/>
          <c:showVal val="0"/>
          <c:showCatName val="0"/>
          <c:showSerName val="0"/>
          <c:showPercent val="0"/>
          <c:showBubbleSize val="0"/>
        </c:dLbls>
        <c:axId val="-1529581424"/>
        <c:axId val="-1529591216"/>
      </c:scatterChart>
      <c:valAx>
        <c:axId val="-1529581424"/>
        <c:scaling>
          <c:orientation val="minMax"/>
          <c:max val="2000"/>
          <c:min val="1950"/>
        </c:scaling>
        <c:delete val="0"/>
        <c:axPos val="b"/>
        <c:majorGridlines>
          <c:spPr>
            <a:ln w="3175">
              <a:solidFill>
                <a:schemeClr val="bg1">
                  <a:lumMod val="50000"/>
                </a:schemeClr>
              </a:solidFill>
              <a:prstDash val="solid"/>
            </a:ln>
          </c:spPr>
        </c:majorGridlines>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700" b="1" i="0" u="none" strike="noStrike" kern="1200" baseline="0">
                    <a:solidFill>
                      <a:srgbClr val="000000"/>
                    </a:solidFill>
                    <a:latin typeface="Arial"/>
                    <a:ea typeface="Arial"/>
                    <a:cs typeface="Arial"/>
                  </a:defRPr>
                </a:pPr>
                <a:endParaRPr lang="es-CO" sz="800" b="1" i="0" baseline="0"/>
              </a:p>
              <a:p>
                <a:pPr marL="0" marR="0" indent="0" algn="ctr" defTabSz="914400" rtl="0" eaLnBrk="1" fontAlgn="auto" latinLnBrk="0" hangingPunct="1">
                  <a:lnSpc>
                    <a:spcPct val="100000"/>
                  </a:lnSpc>
                  <a:spcBef>
                    <a:spcPts val="0"/>
                  </a:spcBef>
                  <a:spcAft>
                    <a:spcPts val="0"/>
                  </a:spcAft>
                  <a:buClrTx/>
                  <a:buSzTx/>
                  <a:buFontTx/>
                  <a:buNone/>
                  <a:tabLst/>
                  <a:defRPr sz="700" b="1" i="0" u="none" strike="noStrike" kern="1200" baseline="0">
                    <a:solidFill>
                      <a:srgbClr val="000000"/>
                    </a:solidFill>
                    <a:latin typeface="Arial"/>
                    <a:ea typeface="Arial"/>
                    <a:cs typeface="Arial"/>
                  </a:defRPr>
                </a:pPr>
                <a:endParaRPr lang="es-CO" sz="800" b="1" i="0" baseline="0"/>
              </a:p>
              <a:p>
                <a:pPr marL="0" marR="0" indent="0" algn="ctr" defTabSz="914400" rtl="0" eaLnBrk="1" fontAlgn="auto" latinLnBrk="0" hangingPunct="1">
                  <a:lnSpc>
                    <a:spcPct val="100000"/>
                  </a:lnSpc>
                  <a:spcBef>
                    <a:spcPts val="0"/>
                  </a:spcBef>
                  <a:spcAft>
                    <a:spcPts val="0"/>
                  </a:spcAft>
                  <a:buClrTx/>
                  <a:buSzTx/>
                  <a:buFontTx/>
                  <a:buNone/>
                  <a:tabLst/>
                  <a:defRPr sz="700" b="1" i="0" u="none" strike="noStrike" kern="1200" baseline="0">
                    <a:solidFill>
                      <a:srgbClr val="000000"/>
                    </a:solidFill>
                    <a:latin typeface="Arial"/>
                    <a:ea typeface="Arial"/>
                    <a:cs typeface="Arial"/>
                  </a:defRPr>
                </a:pPr>
                <a:endParaRPr lang="es-CO" sz="800" b="1" i="0" baseline="0"/>
              </a:p>
              <a:p>
                <a:pPr marL="0" marR="0" indent="0" algn="ctr" defTabSz="914400" rtl="0" eaLnBrk="1" fontAlgn="auto" latinLnBrk="0" hangingPunct="1">
                  <a:lnSpc>
                    <a:spcPct val="100000"/>
                  </a:lnSpc>
                  <a:spcBef>
                    <a:spcPts val="0"/>
                  </a:spcBef>
                  <a:spcAft>
                    <a:spcPts val="0"/>
                  </a:spcAft>
                  <a:buClrTx/>
                  <a:buSzTx/>
                  <a:buFontTx/>
                  <a:buNone/>
                  <a:tabLst/>
                  <a:defRPr sz="700" b="1" i="0" u="none" strike="noStrike" kern="1200" baseline="0">
                    <a:solidFill>
                      <a:srgbClr val="000000"/>
                    </a:solidFill>
                    <a:latin typeface="Arial"/>
                    <a:ea typeface="Arial"/>
                    <a:cs typeface="Arial"/>
                  </a:defRPr>
                </a:pPr>
                <a:r>
                  <a:rPr lang="es-CO" sz="800" b="1" i="0" baseline="0"/>
                  <a:t>DENSIDAD kg/m</a:t>
                </a:r>
                <a:r>
                  <a:rPr lang="es-CO" sz="800" b="1" i="0" baseline="30000"/>
                  <a:t>3</a:t>
                </a:r>
                <a:endParaRPr lang="es-CO" sz="800"/>
              </a:p>
              <a:p>
                <a:pPr marL="0" marR="0" indent="0" algn="ctr" defTabSz="914400" rtl="0" eaLnBrk="1" fontAlgn="auto" latinLnBrk="0" hangingPunct="1">
                  <a:lnSpc>
                    <a:spcPct val="100000"/>
                  </a:lnSpc>
                  <a:spcBef>
                    <a:spcPts val="0"/>
                  </a:spcBef>
                  <a:spcAft>
                    <a:spcPts val="0"/>
                  </a:spcAft>
                  <a:buClrTx/>
                  <a:buSzTx/>
                  <a:buFontTx/>
                  <a:buNone/>
                  <a:tabLst/>
                  <a:defRPr sz="700" b="1" i="0" u="none" strike="noStrike" kern="1200" baseline="0">
                    <a:solidFill>
                      <a:srgbClr val="000000"/>
                    </a:solidFill>
                    <a:latin typeface="Arial"/>
                    <a:ea typeface="Arial"/>
                    <a:cs typeface="Arial"/>
                  </a:defRPr>
                </a:pPr>
                <a:endParaRPr lang="es-CO" sz="700"/>
              </a:p>
            </c:rich>
          </c:tx>
          <c:layout>
            <c:manualLayout>
              <c:xMode val="edge"/>
              <c:yMode val="edge"/>
              <c:x val="0.42401561231175638"/>
              <c:y val="0.8455125562336185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s-CO"/>
          </a:p>
        </c:txPr>
        <c:crossAx val="-1529591216"/>
        <c:crosses val="autoZero"/>
        <c:crossBetween val="midCat"/>
        <c:majorUnit val="20"/>
        <c:minorUnit val="1"/>
      </c:valAx>
      <c:valAx>
        <c:axId val="-1529591216"/>
        <c:scaling>
          <c:orientation val="minMax"/>
          <c:max val="130"/>
          <c:min val="0"/>
        </c:scaling>
        <c:delete val="0"/>
        <c:axPos val="l"/>
        <c:majorGridlines>
          <c:spPr>
            <a:ln w="3175">
              <a:solidFill>
                <a:schemeClr val="bg1">
                  <a:lumMod val="50000"/>
                </a:schemeClr>
              </a:solidFill>
              <a:prstDash val="solid"/>
            </a:ln>
          </c:spPr>
        </c:majorGridlines>
        <c:title>
          <c:tx>
            <c:rich>
              <a:bodyPr/>
              <a:lstStyle/>
              <a:p>
                <a:pPr>
                  <a:defRPr sz="700" b="0" i="0" u="none" strike="noStrike" baseline="0">
                    <a:solidFill>
                      <a:srgbClr val="000000"/>
                    </a:solidFill>
                    <a:latin typeface="Calibri"/>
                    <a:ea typeface="Calibri"/>
                    <a:cs typeface="Calibri"/>
                  </a:defRPr>
                </a:pPr>
                <a:r>
                  <a:rPr lang="en-US" sz="1050" b="1" i="0" u="none" strike="noStrike" baseline="30000">
                    <a:solidFill>
                      <a:srgbClr val="000000"/>
                    </a:solidFill>
                    <a:latin typeface="Arial"/>
                    <a:cs typeface="Arial"/>
                  </a:rPr>
                  <a:t>CBR%</a:t>
                </a:r>
                <a:endParaRPr lang="en-US" sz="700" b="1" i="0" u="none" strike="noStrike" baseline="30000">
                  <a:solidFill>
                    <a:srgbClr val="000000"/>
                  </a:solidFill>
                  <a:latin typeface="Arial"/>
                  <a:cs typeface="Arial"/>
                </a:endParaRPr>
              </a:p>
            </c:rich>
          </c:tx>
          <c:layout>
            <c:manualLayout>
              <c:xMode val="edge"/>
              <c:yMode val="edge"/>
              <c:x val="1.968183225086996E-2"/>
              <c:y val="0.38481178470090377"/>
            </c:manualLayout>
          </c:layout>
          <c:overlay val="0"/>
          <c:spPr>
            <a:noFill/>
            <a:ln w="25400">
              <a:noFill/>
            </a:ln>
          </c:spPr>
        </c:title>
        <c:numFmt formatCode="#,##0" sourceLinked="0"/>
        <c:majorTickMark val="out"/>
        <c:minorTickMark val="none"/>
        <c:tickLblPos val="nextTo"/>
        <c:spPr>
          <a:solidFill>
            <a:srgbClr val="FFFFFF"/>
          </a:solidFill>
          <a:ln w="25400">
            <a:noFill/>
            <a:prstDash val="solid"/>
          </a:ln>
        </c:spPr>
        <c:txPr>
          <a:bodyPr rot="0" vert="horz" anchor="ctr" anchorCtr="0"/>
          <a:lstStyle/>
          <a:p>
            <a:pPr>
              <a:defRPr sz="500" b="0" i="0" u="none" strike="noStrike" baseline="0">
                <a:solidFill>
                  <a:srgbClr val="000000"/>
                </a:solidFill>
                <a:latin typeface="Arial"/>
                <a:ea typeface="Arial"/>
                <a:cs typeface="Arial"/>
              </a:defRPr>
            </a:pPr>
            <a:endParaRPr lang="es-CO"/>
          </a:p>
        </c:txPr>
        <c:crossAx val="-1529581424"/>
        <c:crosses val="autoZero"/>
        <c:crossBetween val="midCat"/>
        <c:majorUnit val="10"/>
      </c:valAx>
      <c:spPr>
        <a:noFill/>
        <a:ln w="25400">
          <a:noFill/>
        </a:ln>
      </c:spPr>
    </c:plotArea>
    <c:plotVisOnly val="1"/>
    <c:dispBlanksAs val="gap"/>
    <c:showDLblsOverMax val="0"/>
  </c:chart>
  <c:spPr>
    <a:solidFill>
      <a:srgbClr val="FFFFFF"/>
    </a:solidFill>
    <a:ln w="3175">
      <a:solidFill>
        <a:schemeClr val="bg1">
          <a:lumMod val="50000"/>
        </a:schemeClr>
      </a:solidFill>
      <a:prstDash val="solid"/>
    </a:ln>
    <a:effectLst>
      <a:outerShdw blurRad="50800" dist="50800" dir="5400000" algn="ctr" rotWithShape="0">
        <a:schemeClr val="bg1">
          <a:lumMod val="85000"/>
          <a:alpha val="95000"/>
        </a:schemeClr>
      </a:outerShdw>
      <a:softEdge rad="63500"/>
    </a:effectLst>
    <a:scene3d>
      <a:camera prst="orthographicFront"/>
      <a:lightRig rig="threePt" dir="t"/>
    </a:scene3d>
    <a:sp3d prstMaterial="matte"/>
  </c:spPr>
  <c:txPr>
    <a:bodyPr/>
    <a:lstStyle/>
    <a:p>
      <a:pPr>
        <a:defRPr sz="115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256" orientation="landscape" horizontalDpi="360" verticalDpi="360"/>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5400">
              <a:solidFill>
                <a:srgbClr val="000000"/>
              </a:solidFill>
              <a:prstDash val="solid"/>
            </a:ln>
          </c:spPr>
          <c:marker>
            <c:symbol val="circle"/>
            <c:size val="5"/>
            <c:spPr>
              <a:solidFill>
                <a:srgbClr val="000000"/>
              </a:solidFill>
              <a:ln>
                <a:solidFill>
                  <a:srgbClr val="000000"/>
                </a:solidFill>
                <a:prstDash val="solid"/>
              </a:ln>
            </c:spPr>
          </c:marker>
          <c:yVal>
            <c:numLit>
              <c:formatCode>General</c:formatCode>
              <c:ptCount val="1"/>
              <c:pt idx="0">
                <c:v>0</c:v>
              </c:pt>
            </c:numLit>
          </c:yVal>
          <c:smooth val="1"/>
          <c:extLst>
            <c:ext xmlns:c16="http://schemas.microsoft.com/office/drawing/2014/chart" uri="{C3380CC4-5D6E-409C-BE32-E72D297353CC}">
              <c16:uniqueId val="{00000000-C466-47BE-89E3-49278EF12E38}"/>
            </c:ext>
          </c:extLst>
        </c:ser>
        <c:ser>
          <c:idx val="2"/>
          <c:order val="1"/>
          <c:spPr>
            <a:ln w="12700">
              <a:solidFill>
                <a:srgbClr val="000000"/>
              </a:solidFill>
              <a:prstDash val="solid"/>
            </a:ln>
          </c:spPr>
          <c:marker>
            <c:symbol val="circle"/>
            <c:size val="5"/>
            <c:spPr>
              <a:solidFill>
                <a:srgbClr val="FFFFFF"/>
              </a:solidFill>
              <a:ln>
                <a:solidFill>
                  <a:srgbClr val="000000"/>
                </a:solidFill>
                <a:prstDash val="solid"/>
              </a:ln>
            </c:spPr>
          </c:marker>
          <c:yVal>
            <c:numLit>
              <c:formatCode>General</c:formatCode>
              <c:ptCount val="1"/>
              <c:pt idx="0">
                <c:v>0</c:v>
              </c:pt>
            </c:numLit>
          </c:yVal>
          <c:smooth val="1"/>
          <c:extLst>
            <c:ext xmlns:c16="http://schemas.microsoft.com/office/drawing/2014/chart" uri="{C3380CC4-5D6E-409C-BE32-E72D297353CC}">
              <c16:uniqueId val="{00000001-C466-47BE-89E3-49278EF12E38}"/>
            </c:ext>
          </c:extLst>
        </c:ser>
        <c:ser>
          <c:idx val="3"/>
          <c:order val="2"/>
          <c:spPr>
            <a:ln w="12700">
              <a:solidFill>
                <a:srgbClr val="000000"/>
              </a:solidFill>
              <a:prstDash val="solid"/>
            </a:ln>
          </c:spPr>
          <c:marker>
            <c:symbol val="circle"/>
            <c:size val="5"/>
            <c:spPr>
              <a:solidFill>
                <a:srgbClr val="FFFFFF"/>
              </a:solidFill>
              <a:ln>
                <a:solidFill>
                  <a:srgbClr val="000000"/>
                </a:solidFill>
                <a:prstDash val="solid"/>
              </a:ln>
            </c:spPr>
          </c:marker>
          <c:yVal>
            <c:numLit>
              <c:formatCode>General</c:formatCode>
              <c:ptCount val="1"/>
              <c:pt idx="0">
                <c:v>0</c:v>
              </c:pt>
            </c:numLit>
          </c:yVal>
          <c:smooth val="0"/>
          <c:extLst>
            <c:ext xmlns:c16="http://schemas.microsoft.com/office/drawing/2014/chart" uri="{C3380CC4-5D6E-409C-BE32-E72D297353CC}">
              <c16:uniqueId val="{00000002-C466-47BE-89E3-49278EF12E38}"/>
            </c:ext>
          </c:extLst>
        </c:ser>
        <c:dLbls>
          <c:showLegendKey val="0"/>
          <c:showVal val="0"/>
          <c:showCatName val="0"/>
          <c:showSerName val="0"/>
          <c:showPercent val="0"/>
          <c:showBubbleSize val="0"/>
        </c:dLbls>
        <c:axId val="-1534236592"/>
        <c:axId val="-1534234416"/>
      </c:scatterChart>
      <c:valAx>
        <c:axId val="-1534236592"/>
        <c:scaling>
          <c:orientation val="minMax"/>
        </c:scaling>
        <c:delete val="0"/>
        <c:axPos val="b"/>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4416"/>
        <c:crosses val="autoZero"/>
        <c:crossBetween val="midCat"/>
      </c:valAx>
      <c:valAx>
        <c:axId val="-1534234416"/>
        <c:scaling>
          <c:orientation val="minMax"/>
          <c:max val="100"/>
          <c:min val="0"/>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6592"/>
        <c:crosses val="autoZero"/>
        <c:crossBetween val="midCat"/>
        <c:minorUnit val="5"/>
      </c:valAx>
      <c:spPr>
        <a:solidFill>
          <a:srgbClr val="FFFFFF"/>
        </a:solidFill>
        <a:ln w="25400">
          <a:solidFill>
            <a:srgbClr val="000000"/>
          </a:solidFill>
          <a:prstDash val="solid"/>
        </a:ln>
      </c:spPr>
    </c:plotArea>
    <c:plotVisOnly val="1"/>
    <c:dispBlanksAs val="gap"/>
    <c:showDLblsOverMax val="0"/>
  </c:chart>
  <c:spPr>
    <a:solidFill>
      <a:srgbClr val="FFFFFF"/>
    </a:solidFill>
    <a:ln w="6350">
      <a:noFill/>
    </a:ln>
  </c:spPr>
  <c:txPr>
    <a:bodyPr/>
    <a:lstStyle/>
    <a:p>
      <a:pPr>
        <a:defRPr sz="800" b="0" i="0" u="none" strike="noStrike" baseline="0">
          <a:solidFill>
            <a:srgbClr val="000000"/>
          </a:solidFill>
          <a:latin typeface="Arial"/>
          <a:ea typeface="Arial"/>
          <a:cs typeface="Arial"/>
        </a:defRPr>
      </a:pPr>
      <a:endParaRPr lang="es-CO"/>
    </a:p>
  </c:txPr>
  <c:printSettings>
    <c:headerFooter alignWithMargins="0">
      <c:oddHeader>&amp;A</c:oddHeader>
      <c:oddFooter>Página &amp;P</c:oddFooter>
    </c:headerFooter>
    <c:pageMargins b="1" l="0.75000000000000988" r="0.75000000000000988" t="1" header="0.511811024" footer="0.511811024"/>
    <c:pageSetup paperSize="9" orientation="landscape" horizontalDpi="180" verticalDpi="18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12700">
              <a:solidFill>
                <a:srgbClr val="000000"/>
              </a:solidFill>
              <a:prstDash val="solid"/>
            </a:ln>
          </c:spPr>
          <c:marker>
            <c:symbol val="circle"/>
            <c:size val="5"/>
            <c:spPr>
              <a:solidFill>
                <a:srgbClr val="000000"/>
              </a:solidFill>
              <a:ln>
                <a:solidFill>
                  <a:srgbClr val="000000"/>
                </a:solidFill>
                <a:prstDash val="solid"/>
              </a:ln>
            </c:spPr>
          </c:marker>
          <c:yVal>
            <c:numLit>
              <c:formatCode>General</c:formatCode>
              <c:ptCount val="1"/>
              <c:pt idx="0">
                <c:v>0</c:v>
              </c:pt>
            </c:numLit>
          </c:yVal>
          <c:smooth val="1"/>
          <c:extLst>
            <c:ext xmlns:c16="http://schemas.microsoft.com/office/drawing/2014/chart" uri="{C3380CC4-5D6E-409C-BE32-E72D297353CC}">
              <c16:uniqueId val="{00000000-F703-4B65-8D1A-A439456F2558}"/>
            </c:ext>
          </c:extLst>
        </c:ser>
        <c:ser>
          <c:idx val="2"/>
          <c:order val="1"/>
          <c:spPr>
            <a:ln w="12700">
              <a:solidFill>
                <a:srgbClr val="000000"/>
              </a:solidFill>
              <a:prstDash val="solid"/>
            </a:ln>
          </c:spPr>
          <c:marker>
            <c:symbol val="circle"/>
            <c:size val="5"/>
            <c:spPr>
              <a:solidFill>
                <a:srgbClr val="FFFFFF"/>
              </a:solidFill>
              <a:ln>
                <a:solidFill>
                  <a:srgbClr val="000000"/>
                </a:solidFill>
                <a:prstDash val="solid"/>
              </a:ln>
            </c:spPr>
          </c:marker>
          <c:yVal>
            <c:numLit>
              <c:formatCode>General</c:formatCode>
              <c:ptCount val="1"/>
              <c:pt idx="0">
                <c:v>0</c:v>
              </c:pt>
            </c:numLit>
          </c:yVal>
          <c:smooth val="1"/>
          <c:extLst>
            <c:ext xmlns:c16="http://schemas.microsoft.com/office/drawing/2014/chart" uri="{C3380CC4-5D6E-409C-BE32-E72D297353CC}">
              <c16:uniqueId val="{00000001-F703-4B65-8D1A-A439456F2558}"/>
            </c:ext>
          </c:extLst>
        </c:ser>
        <c:ser>
          <c:idx val="3"/>
          <c:order val="2"/>
          <c:spPr>
            <a:ln w="12700">
              <a:solidFill>
                <a:srgbClr val="000000"/>
              </a:solidFill>
              <a:prstDash val="solid"/>
            </a:ln>
          </c:spPr>
          <c:marker>
            <c:symbol val="circle"/>
            <c:size val="5"/>
            <c:spPr>
              <a:solidFill>
                <a:srgbClr val="FFFFFF"/>
              </a:solidFill>
              <a:ln>
                <a:solidFill>
                  <a:srgbClr val="000000"/>
                </a:solidFill>
                <a:prstDash val="solid"/>
              </a:ln>
            </c:spPr>
          </c:marker>
          <c:yVal>
            <c:numLit>
              <c:formatCode>General</c:formatCode>
              <c:ptCount val="1"/>
              <c:pt idx="0">
                <c:v>0</c:v>
              </c:pt>
            </c:numLit>
          </c:yVal>
          <c:smooth val="0"/>
          <c:extLst>
            <c:ext xmlns:c16="http://schemas.microsoft.com/office/drawing/2014/chart" uri="{C3380CC4-5D6E-409C-BE32-E72D297353CC}">
              <c16:uniqueId val="{00000002-F703-4B65-8D1A-A439456F2558}"/>
            </c:ext>
          </c:extLst>
        </c:ser>
        <c:dLbls>
          <c:showLegendKey val="0"/>
          <c:showVal val="0"/>
          <c:showCatName val="0"/>
          <c:showSerName val="0"/>
          <c:showPercent val="0"/>
          <c:showBubbleSize val="0"/>
        </c:dLbls>
        <c:axId val="-1534236048"/>
        <c:axId val="-1534241488"/>
      </c:scatterChart>
      <c:valAx>
        <c:axId val="-1534236048"/>
        <c:scaling>
          <c:orientation val="minMax"/>
        </c:scaling>
        <c:delete val="0"/>
        <c:axPos val="b"/>
        <c:majorGridlines>
          <c:spPr>
            <a:ln w="3175">
              <a:solidFill>
                <a:srgbClr val="000000"/>
              </a:solidFill>
              <a:prstDash val="solid"/>
            </a:ln>
          </c:spPr>
        </c:majorGridlines>
        <c:minorGridlines>
          <c:spPr>
            <a:ln w="3175">
              <a:solidFill>
                <a:srgbClr val="000000"/>
              </a:solidFill>
              <a:prstDash val="solid"/>
            </a:ln>
          </c:spPr>
        </c:min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41488"/>
        <c:crosses val="autoZero"/>
        <c:crossBetween val="midCat"/>
      </c:valAx>
      <c:valAx>
        <c:axId val="-1534241488"/>
        <c:scaling>
          <c:orientation val="minMax"/>
          <c:max val="100"/>
          <c:min val="0"/>
        </c:scaling>
        <c:delete val="0"/>
        <c:axPos val="l"/>
        <c:majorGridlines>
          <c:spPr>
            <a:ln w="3175">
              <a:solidFill>
                <a:srgbClr val="000000"/>
              </a:solidFill>
              <a:prstDash val="solid"/>
            </a:ln>
          </c:spPr>
        </c:majorGridlines>
        <c:minorGridlines>
          <c:spPr>
            <a:ln w="3175">
              <a:solidFill>
                <a:srgbClr val="000000"/>
              </a:solidFill>
              <a:prstDash val="solid"/>
            </a:ln>
          </c:spPr>
        </c:minorGridlines>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6048"/>
        <c:crosses val="autoZero"/>
        <c:crossBetween val="midCat"/>
        <c:minorUnit val="5"/>
      </c:valAx>
      <c:spPr>
        <a:solidFill>
          <a:srgbClr val="FFFFFF"/>
        </a:solidFill>
        <a:ln w="25400">
          <a:solidFill>
            <a:srgbClr val="000000"/>
          </a:solidFill>
          <a:prstDash val="solid"/>
        </a:ln>
      </c:spPr>
    </c:plotArea>
    <c:plotVisOnly val="1"/>
    <c:dispBlanksAs val="gap"/>
    <c:showDLblsOverMax val="0"/>
  </c:chart>
  <c:spPr>
    <a:solidFill>
      <a:srgbClr val="FFFFFF"/>
    </a:solidFill>
    <a:ln w="6350">
      <a:noFill/>
    </a:ln>
  </c:spPr>
  <c:txPr>
    <a:bodyPr/>
    <a:lstStyle/>
    <a:p>
      <a:pPr>
        <a:defRPr sz="800" b="0" i="0" u="none" strike="noStrike" baseline="0">
          <a:solidFill>
            <a:srgbClr val="000000"/>
          </a:solidFill>
          <a:latin typeface="Arial"/>
          <a:ea typeface="Arial"/>
          <a:cs typeface="Arial"/>
        </a:defRPr>
      </a:pPr>
      <a:endParaRPr lang="es-CO"/>
    </a:p>
  </c:txPr>
  <c:printSettings>
    <c:headerFooter alignWithMargins="0">
      <c:oddHeader>&amp;A</c:oddHeader>
      <c:oddFooter>Página &amp;P</c:oddFooter>
    </c:headerFooter>
    <c:pageMargins b="1" l="0.75000000000000988" r="0.75000000000000988" t="1" header="0.511811024" footer="0.511811024"/>
    <c:pageSetup paperSize="9" orientation="landscape" horizontalDpi="180" verticalDpi="18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3907317810173321E-2"/>
          <c:y val="3.416217709628401E-2"/>
          <c:w val="0.86987832013244371"/>
          <c:h val="0.83869185553328485"/>
        </c:manualLayout>
      </c:layout>
      <c:scatterChart>
        <c:scatterStyle val="lineMarker"/>
        <c:varyColors val="0"/>
        <c:ser>
          <c:idx val="0"/>
          <c:order val="0"/>
          <c:spPr>
            <a:ln w="12700" cap="rnd">
              <a:solidFill>
                <a:schemeClr val="tx1"/>
              </a:solidFill>
              <a:prstDash val="solid"/>
            </a:ln>
          </c:spPr>
          <c:marker>
            <c:symbol val="diamond"/>
            <c:size val="3"/>
            <c:spPr>
              <a:noFill/>
              <a:ln w="6350">
                <a:solidFill>
                  <a:srgbClr val="000000"/>
                </a:solidFill>
                <a:prstDash val="solid"/>
              </a:ln>
            </c:spPr>
          </c:marker>
          <c:xVal>
            <c:strRef>
              <c:f>'[10]Gradacion '!$AJ$35:$AJ$44</c:f>
              <c:strCache>
                <c:ptCount val="10"/>
              </c:strCache>
            </c:strRef>
          </c:xVal>
          <c:yVal>
            <c:numRef>
              <c:f>'Gradacion '!$AU$35:$AU$46</c:f>
              <c:numCache>
                <c:formatCode>0.00</c:formatCode>
                <c:ptCount val="12"/>
              </c:numCache>
            </c:numRef>
          </c:yVal>
          <c:smooth val="0"/>
          <c:extLst>
            <c:ext xmlns:c16="http://schemas.microsoft.com/office/drawing/2014/chart" uri="{C3380CC4-5D6E-409C-BE32-E72D297353CC}">
              <c16:uniqueId val="{00000000-AEF3-4148-9C02-5C15B38371C0}"/>
            </c:ext>
          </c:extLst>
        </c:ser>
        <c:ser>
          <c:idx val="3"/>
          <c:order val="1"/>
          <c:tx>
            <c:v>Límite inferior</c:v>
          </c:tx>
          <c:spPr>
            <a:ln w="12700">
              <a:solidFill>
                <a:srgbClr val="0070C0"/>
              </a:solidFill>
              <a:prstDash val="dashDot"/>
            </a:ln>
          </c:spPr>
          <c:marker>
            <c:symbol val="none"/>
          </c:marker>
          <c:xVal>
            <c:strRef>
              <c:f>'[10]Gradacion '!$AJ$35:$AJ$44</c:f>
              <c:strCache>
                <c:ptCount val="10"/>
              </c:strCache>
            </c:strRef>
          </c:xVal>
          <c:yVal>
            <c:numRef>
              <c:f>'Gradacion '!$AV$35:$AV$46</c:f>
              <c:numCache>
                <c:formatCode>General</c:formatCode>
                <c:ptCount val="12"/>
                <c:pt idx="0">
                  <c:v>0</c:v>
                </c:pt>
                <c:pt idx="1">
                  <c:v>0</c:v>
                </c:pt>
                <c:pt idx="2">
                  <c:v>0</c:v>
                </c:pt>
                <c:pt idx="3">
                  <c:v>0</c:v>
                </c:pt>
                <c:pt idx="4">
                  <c:v>0</c:v>
                </c:pt>
                <c:pt idx="5">
                  <c:v>0</c:v>
                </c:pt>
                <c:pt idx="6">
                  <c:v>0</c:v>
                </c:pt>
                <c:pt idx="9">
                  <c:v>0</c:v>
                </c:pt>
                <c:pt idx="10">
                  <c:v>0</c:v>
                </c:pt>
                <c:pt idx="11">
                  <c:v>0</c:v>
                </c:pt>
              </c:numCache>
            </c:numRef>
          </c:yVal>
          <c:smooth val="0"/>
          <c:extLst>
            <c:ext xmlns:c16="http://schemas.microsoft.com/office/drawing/2014/chart" uri="{C3380CC4-5D6E-409C-BE32-E72D297353CC}">
              <c16:uniqueId val="{00000001-AEF3-4148-9C02-5C15B38371C0}"/>
            </c:ext>
          </c:extLst>
        </c:ser>
        <c:ser>
          <c:idx val="4"/>
          <c:order val="2"/>
          <c:tx>
            <c:v>Límite superior</c:v>
          </c:tx>
          <c:spPr>
            <a:ln w="12700">
              <a:solidFill>
                <a:srgbClr val="0070C0"/>
              </a:solidFill>
              <a:prstDash val="dashDot"/>
            </a:ln>
          </c:spPr>
          <c:marker>
            <c:symbol val="none"/>
          </c:marker>
          <c:xVal>
            <c:strRef>
              <c:f>'[10]Gradacion '!$AJ$35:$AJ$44</c:f>
              <c:strCache>
                <c:ptCount val="10"/>
              </c:strCache>
            </c:strRef>
          </c:xVal>
          <c:yVal>
            <c:numRef>
              <c:f>'Gradacion '!$AW$35:$AW$46</c:f>
              <c:numCache>
                <c:formatCode>0</c:formatCode>
                <c:ptCount val="12"/>
                <c:pt idx="0">
                  <c:v>0</c:v>
                </c:pt>
                <c:pt idx="1">
                  <c:v>0</c:v>
                </c:pt>
                <c:pt idx="2">
                  <c:v>0</c:v>
                </c:pt>
                <c:pt idx="3">
                  <c:v>0</c:v>
                </c:pt>
                <c:pt idx="4">
                  <c:v>0</c:v>
                </c:pt>
                <c:pt idx="5">
                  <c:v>0</c:v>
                </c:pt>
                <c:pt idx="6">
                  <c:v>0</c:v>
                </c:pt>
                <c:pt idx="9">
                  <c:v>0</c:v>
                </c:pt>
              </c:numCache>
            </c:numRef>
          </c:yVal>
          <c:smooth val="0"/>
          <c:extLst>
            <c:ext xmlns:c16="http://schemas.microsoft.com/office/drawing/2014/chart" uri="{C3380CC4-5D6E-409C-BE32-E72D297353CC}">
              <c16:uniqueId val="{00000002-AEF3-4148-9C02-5C15B38371C0}"/>
            </c:ext>
          </c:extLst>
        </c:ser>
        <c:dLbls>
          <c:showLegendKey val="0"/>
          <c:showVal val="0"/>
          <c:showCatName val="0"/>
          <c:showSerName val="0"/>
          <c:showPercent val="0"/>
          <c:showBubbleSize val="0"/>
        </c:dLbls>
        <c:axId val="-1534237680"/>
        <c:axId val="-1534231696"/>
      </c:scatterChart>
      <c:valAx>
        <c:axId val="-1534237680"/>
        <c:scaling>
          <c:logBase val="10"/>
          <c:orientation val="maxMin"/>
          <c:max val="310"/>
        </c:scaling>
        <c:delete val="1"/>
        <c:axPos val="b"/>
        <c:majorGridlines>
          <c:spPr>
            <a:ln w="3175">
              <a:solidFill>
                <a:srgbClr val="000000"/>
              </a:solidFill>
              <a:prstDash val="solid"/>
            </a:ln>
          </c:spPr>
        </c:majorGridlines>
        <c:minorGridlines>
          <c:spPr>
            <a:ln w="3175">
              <a:solidFill>
                <a:schemeClr val="tx1">
                  <a:lumMod val="50000"/>
                  <a:lumOff val="50000"/>
                </a:schemeClr>
              </a:solidFill>
              <a:prstDash val="solid"/>
            </a:ln>
          </c:spPr>
        </c:minorGridlines>
        <c:numFmt formatCode="0.00" sourceLinked="1"/>
        <c:majorTickMark val="out"/>
        <c:minorTickMark val="none"/>
        <c:tickLblPos val="nextTo"/>
        <c:crossAx val="-1534231696"/>
        <c:crosses val="autoZero"/>
        <c:crossBetween val="midCat"/>
      </c:valAx>
      <c:valAx>
        <c:axId val="-1534231696"/>
        <c:scaling>
          <c:orientation val="minMax"/>
          <c:max val="100"/>
          <c:min val="0"/>
        </c:scaling>
        <c:delete val="0"/>
        <c:axPos val="l"/>
        <c:majorGridlines>
          <c:spPr>
            <a:ln w="3175">
              <a:solidFill>
                <a:schemeClr val="bg1">
                  <a:lumMod val="50000"/>
                </a:schemeClr>
              </a:solidFill>
              <a:prstDash val="solid"/>
            </a:ln>
          </c:spPr>
        </c:majorGridlines>
        <c:title>
          <c:tx>
            <c:rich>
              <a:bodyPr/>
              <a:lstStyle/>
              <a:p>
                <a:pPr>
                  <a:defRPr sz="800" b="1" i="0" u="none" strike="noStrike" baseline="0">
                    <a:solidFill>
                      <a:srgbClr val="000000"/>
                    </a:solidFill>
                    <a:latin typeface="Arial"/>
                    <a:ea typeface="Arial"/>
                    <a:cs typeface="Arial"/>
                  </a:defRPr>
                </a:pPr>
                <a:r>
                  <a:rPr lang="es-CO" sz="800" b="0"/>
                  <a:t>%</a:t>
                </a:r>
                <a:r>
                  <a:rPr lang="es-CO" sz="800" baseline="0"/>
                  <a:t> PASA</a:t>
                </a:r>
                <a:endParaRPr lang="es-CO" sz="800"/>
              </a:p>
            </c:rich>
          </c:tx>
          <c:layout>
            <c:manualLayout>
              <c:xMode val="edge"/>
              <c:yMode val="edge"/>
              <c:x val="2.2308851666231443E-2"/>
              <c:y val="0.3929070539334369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7680"/>
        <c:crosses val="max"/>
        <c:crossBetween val="midCat"/>
      </c:valAx>
      <c:spPr>
        <a:noFill/>
        <a:ln w="25400">
          <a:solidFill>
            <a:schemeClr val="bg1"/>
          </a:solidFill>
        </a:ln>
      </c:spPr>
    </c:plotArea>
    <c:legend>
      <c:legendPos val="r"/>
      <c:layout>
        <c:manualLayout>
          <c:xMode val="edge"/>
          <c:yMode val="edge"/>
          <c:x val="0.74926744598691408"/>
          <c:y val="7.201547175024299E-2"/>
          <c:w val="0.24424557372095554"/>
          <c:h val="0.22150013089900344"/>
        </c:manualLayout>
      </c:layout>
      <c:overlay val="0"/>
      <c:spPr>
        <a:solidFill>
          <a:srgbClr val="FFFFFF"/>
        </a:solidFill>
        <a:ln w="3175">
          <a:noFill/>
          <a:prstDash val="solid"/>
        </a:ln>
      </c:spPr>
      <c:txPr>
        <a:bodyPr/>
        <a:lstStyle/>
        <a:p>
          <a:pPr>
            <a:defRPr sz="900" b="0" i="0" u="none" strike="noStrike" baseline="0">
              <a:solidFill>
                <a:srgbClr val="000000"/>
              </a:solidFill>
              <a:latin typeface="Arial"/>
              <a:ea typeface="Arial"/>
              <a:cs typeface="Arial"/>
            </a:defRPr>
          </a:pPr>
          <a:endParaRPr lang="es-CO"/>
        </a:p>
      </c:txPr>
    </c:legend>
    <c:plotVisOnly val="0"/>
    <c:dispBlanksAs val="span"/>
    <c:showDLblsOverMax val="0"/>
  </c:chart>
  <c:spPr>
    <a:solidFill>
      <a:srgbClr val="FFFFFF"/>
    </a:solidFill>
    <a:ln w="25400">
      <a:solidFill>
        <a:schemeClr val="bg1"/>
      </a:solidFill>
      <a:prstDash val="solid"/>
    </a:ln>
  </c:spPr>
  <c:txPr>
    <a:bodyPr/>
    <a:lstStyle/>
    <a:p>
      <a:pPr>
        <a:defRPr sz="160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3907317810173321E-2"/>
          <c:y val="3.416217709628401E-2"/>
          <c:w val="0.86987832013244371"/>
          <c:h val="0.83869185553328485"/>
        </c:manualLayout>
      </c:layout>
      <c:scatterChart>
        <c:scatterStyle val="lineMarker"/>
        <c:varyColors val="0"/>
        <c:ser>
          <c:idx val="0"/>
          <c:order val="0"/>
          <c:tx>
            <c:v>Resultado</c:v>
          </c:tx>
          <c:spPr>
            <a:ln w="12700" cap="rnd">
              <a:solidFill>
                <a:schemeClr val="tx1"/>
              </a:solidFill>
              <a:prstDash val="solid"/>
            </a:ln>
          </c:spPr>
          <c:marker>
            <c:symbol val="diamond"/>
            <c:size val="3"/>
            <c:spPr>
              <a:noFill/>
              <a:ln w="6350">
                <a:solidFill>
                  <a:srgbClr val="000000"/>
                </a:solidFill>
                <a:prstDash val="solid"/>
              </a:ln>
            </c:spPr>
          </c:marker>
          <c:xVal>
            <c:numRef>
              <c:f>'[11]Gradacion '!$A$14:$A$23</c:f>
              <c:numCache>
                <c:formatCode>General</c:formatCode>
                <c:ptCount val="10"/>
                <c:pt idx="0">
                  <c:v>0</c:v>
                </c:pt>
                <c:pt idx="1">
                  <c:v>0</c:v>
                </c:pt>
                <c:pt idx="2">
                  <c:v>0</c:v>
                </c:pt>
                <c:pt idx="3">
                  <c:v>0</c:v>
                </c:pt>
                <c:pt idx="4">
                  <c:v>0</c:v>
                </c:pt>
                <c:pt idx="5">
                  <c:v>0</c:v>
                </c:pt>
                <c:pt idx="6">
                  <c:v>0</c:v>
                </c:pt>
                <c:pt idx="7">
                  <c:v>0</c:v>
                </c:pt>
                <c:pt idx="8">
                  <c:v>0</c:v>
                </c:pt>
                <c:pt idx="9">
                  <c:v>0</c:v>
                </c:pt>
              </c:numCache>
            </c:numRef>
          </c:xVal>
          <c:yVal>
            <c:numRef>
              <c:f>'[11]Gradacion '!$U$14:$U$23</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0-910E-47C6-B777-AF5121422CBB}"/>
            </c:ext>
          </c:extLst>
        </c:ser>
        <c:ser>
          <c:idx val="3"/>
          <c:order val="1"/>
          <c:tx>
            <c:strRef>
              <c:f>'[11]Gradacion '!$AN$34</c:f>
              <c:strCache>
                <c:ptCount val="1"/>
                <c:pt idx="0">
                  <c:v>Limite superior</c:v>
                </c:pt>
              </c:strCache>
            </c:strRef>
          </c:tx>
          <c:spPr>
            <a:ln w="12700">
              <a:solidFill>
                <a:srgbClr val="0070C0"/>
              </a:solidFill>
              <a:prstDash val="dashDot"/>
            </a:ln>
          </c:spPr>
          <c:marker>
            <c:symbol val="none"/>
          </c:marker>
          <c:xVal>
            <c:numRef>
              <c:f>'[11]Gradacion '!$A$14:$A$23</c:f>
              <c:numCache>
                <c:formatCode>General</c:formatCode>
                <c:ptCount val="10"/>
                <c:pt idx="0">
                  <c:v>0</c:v>
                </c:pt>
                <c:pt idx="1">
                  <c:v>0</c:v>
                </c:pt>
                <c:pt idx="2">
                  <c:v>0</c:v>
                </c:pt>
                <c:pt idx="3">
                  <c:v>0</c:v>
                </c:pt>
                <c:pt idx="4">
                  <c:v>0</c:v>
                </c:pt>
                <c:pt idx="5">
                  <c:v>0</c:v>
                </c:pt>
                <c:pt idx="6">
                  <c:v>0</c:v>
                </c:pt>
                <c:pt idx="7">
                  <c:v>0</c:v>
                </c:pt>
                <c:pt idx="8">
                  <c:v>0</c:v>
                </c:pt>
                <c:pt idx="9">
                  <c:v>0</c:v>
                </c:pt>
              </c:numCache>
            </c:numRef>
          </c:xVal>
          <c:yVal>
            <c:numRef>
              <c:f>'[11]Gradacion '!$Y$14:$Y$23</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1-910E-47C6-B777-AF5121422CBB}"/>
            </c:ext>
          </c:extLst>
        </c:ser>
        <c:ser>
          <c:idx val="4"/>
          <c:order val="2"/>
          <c:tx>
            <c:strRef>
              <c:f>'[11]Gradacion '!$AM$34</c:f>
              <c:strCache>
                <c:ptCount val="1"/>
                <c:pt idx="0">
                  <c:v>Limite inferior</c:v>
                </c:pt>
              </c:strCache>
            </c:strRef>
          </c:tx>
          <c:spPr>
            <a:ln w="12700">
              <a:solidFill>
                <a:srgbClr val="0070C0"/>
              </a:solidFill>
              <a:prstDash val="dashDot"/>
            </a:ln>
          </c:spPr>
          <c:marker>
            <c:symbol val="none"/>
          </c:marker>
          <c:xVal>
            <c:numRef>
              <c:f>'[11]Gradacion '!$A$14:$A$23</c:f>
              <c:numCache>
                <c:formatCode>General</c:formatCode>
                <c:ptCount val="10"/>
                <c:pt idx="0">
                  <c:v>0</c:v>
                </c:pt>
                <c:pt idx="1">
                  <c:v>0</c:v>
                </c:pt>
                <c:pt idx="2">
                  <c:v>0</c:v>
                </c:pt>
                <c:pt idx="3">
                  <c:v>0</c:v>
                </c:pt>
                <c:pt idx="4">
                  <c:v>0</c:v>
                </c:pt>
                <c:pt idx="5">
                  <c:v>0</c:v>
                </c:pt>
                <c:pt idx="6">
                  <c:v>0</c:v>
                </c:pt>
                <c:pt idx="7">
                  <c:v>0</c:v>
                </c:pt>
                <c:pt idx="8">
                  <c:v>0</c:v>
                </c:pt>
                <c:pt idx="9">
                  <c:v>0</c:v>
                </c:pt>
              </c:numCache>
            </c:numRef>
          </c:xVal>
          <c:yVal>
            <c:numRef>
              <c:f>'[11]Gradacion '!$AC$14:$AC$23</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2-910E-47C6-B777-AF5121422CBB}"/>
            </c:ext>
          </c:extLst>
        </c:ser>
        <c:dLbls>
          <c:showLegendKey val="0"/>
          <c:showVal val="0"/>
          <c:showCatName val="0"/>
          <c:showSerName val="0"/>
          <c:showPercent val="0"/>
          <c:showBubbleSize val="0"/>
        </c:dLbls>
        <c:axId val="-1534237680"/>
        <c:axId val="-1534231696"/>
      </c:scatterChart>
      <c:valAx>
        <c:axId val="-1534237680"/>
        <c:scaling>
          <c:logBase val="10"/>
          <c:orientation val="maxMin"/>
          <c:max val="310"/>
        </c:scaling>
        <c:delete val="0"/>
        <c:axPos val="b"/>
        <c:majorGridlines>
          <c:spPr>
            <a:ln w="3175">
              <a:solidFill>
                <a:srgbClr val="000000"/>
              </a:solidFill>
              <a:prstDash val="solid"/>
            </a:ln>
          </c:spPr>
        </c:majorGridlines>
        <c:minorGridlines>
          <c:spPr>
            <a:ln w="3175">
              <a:solidFill>
                <a:schemeClr val="tx1">
                  <a:lumMod val="50000"/>
                  <a:lumOff val="50000"/>
                </a:schemeClr>
              </a:solidFill>
              <a:prstDash val="solid"/>
            </a:ln>
          </c:spPr>
        </c:min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1696"/>
        <c:crosses val="autoZero"/>
        <c:crossBetween val="midCat"/>
      </c:valAx>
      <c:valAx>
        <c:axId val="-1534231696"/>
        <c:scaling>
          <c:orientation val="minMax"/>
          <c:max val="100"/>
          <c:min val="0"/>
        </c:scaling>
        <c:delete val="0"/>
        <c:axPos val="l"/>
        <c:majorGridlines>
          <c:spPr>
            <a:ln w="3175">
              <a:solidFill>
                <a:schemeClr val="bg1">
                  <a:lumMod val="50000"/>
                </a:schemeClr>
              </a:solidFill>
              <a:prstDash val="solid"/>
            </a:ln>
          </c:spPr>
        </c:majorGridlines>
        <c:title>
          <c:tx>
            <c:rich>
              <a:bodyPr/>
              <a:lstStyle/>
              <a:p>
                <a:pPr>
                  <a:defRPr sz="800" b="1" i="0" u="none" strike="noStrike" baseline="0">
                    <a:solidFill>
                      <a:srgbClr val="000000"/>
                    </a:solidFill>
                    <a:latin typeface="Arial"/>
                    <a:ea typeface="Arial"/>
                    <a:cs typeface="Arial"/>
                  </a:defRPr>
                </a:pPr>
                <a:r>
                  <a:rPr lang="es-CO" sz="800" b="0"/>
                  <a:t>%</a:t>
                </a:r>
                <a:r>
                  <a:rPr lang="es-CO" sz="800" baseline="0"/>
                  <a:t> PASA</a:t>
                </a:r>
                <a:endParaRPr lang="es-CO" sz="800"/>
              </a:p>
            </c:rich>
          </c:tx>
          <c:layout>
            <c:manualLayout>
              <c:xMode val="edge"/>
              <c:yMode val="edge"/>
              <c:x val="2.2308851666231443E-2"/>
              <c:y val="0.3929070539334369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7680"/>
        <c:crosses val="max"/>
        <c:crossBetween val="midCat"/>
      </c:valAx>
      <c:spPr>
        <a:noFill/>
        <a:ln w="25400">
          <a:solidFill>
            <a:schemeClr val="bg1"/>
          </a:solidFill>
        </a:ln>
      </c:spPr>
    </c:plotArea>
    <c:legend>
      <c:legendPos val="r"/>
      <c:layout>
        <c:manualLayout>
          <c:xMode val="edge"/>
          <c:yMode val="edge"/>
          <c:x val="0.74926744598691408"/>
          <c:y val="7.201547175024299E-2"/>
          <c:w val="0.24424557372095554"/>
          <c:h val="0.22150013089900344"/>
        </c:manualLayout>
      </c:layout>
      <c:overlay val="0"/>
      <c:spPr>
        <a:solidFill>
          <a:srgbClr val="FFFFFF"/>
        </a:solidFill>
        <a:ln w="3175">
          <a:noFill/>
          <a:prstDash val="solid"/>
        </a:ln>
      </c:spPr>
      <c:txPr>
        <a:bodyPr/>
        <a:lstStyle/>
        <a:p>
          <a:pPr>
            <a:defRPr sz="900" b="0" i="0" u="none" strike="noStrike" baseline="0">
              <a:solidFill>
                <a:srgbClr val="000000"/>
              </a:solidFill>
              <a:latin typeface="Arial"/>
              <a:ea typeface="Arial"/>
              <a:cs typeface="Arial"/>
            </a:defRPr>
          </a:pPr>
          <a:endParaRPr lang="es-CO"/>
        </a:p>
      </c:txPr>
    </c:legend>
    <c:plotVisOnly val="0"/>
    <c:dispBlanksAs val="span"/>
    <c:showDLblsOverMax val="0"/>
  </c:chart>
  <c:spPr>
    <a:solidFill>
      <a:srgbClr val="FFFFFF"/>
    </a:solidFill>
    <a:ln w="25400">
      <a:solidFill>
        <a:schemeClr val="bg1"/>
      </a:solidFill>
      <a:prstDash val="solid"/>
    </a:ln>
  </c:spPr>
  <c:txPr>
    <a:bodyPr/>
    <a:lstStyle/>
    <a:p>
      <a:pPr>
        <a:defRPr sz="160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3907317810173321E-2"/>
          <c:y val="3.416217709628401E-2"/>
          <c:w val="0.86987832013244371"/>
          <c:h val="0.83869185553328485"/>
        </c:manualLayout>
      </c:layout>
      <c:scatterChart>
        <c:scatterStyle val="lineMarker"/>
        <c:varyColors val="0"/>
        <c:ser>
          <c:idx val="0"/>
          <c:order val="0"/>
          <c:tx>
            <c:v>Resultado</c:v>
          </c:tx>
          <c:spPr>
            <a:ln w="12700" cap="flat">
              <a:solidFill>
                <a:schemeClr val="tx1"/>
              </a:solidFill>
              <a:miter lim="800000"/>
            </a:ln>
          </c:spPr>
          <c:marker>
            <c:symbol val="diamond"/>
            <c:size val="3"/>
            <c:spPr>
              <a:noFill/>
              <a:ln w="3175">
                <a:solidFill>
                  <a:schemeClr val="tx1"/>
                </a:solidFill>
                <a:prstDash val="solid"/>
              </a:ln>
            </c:spPr>
          </c:marker>
          <c:xVal>
            <c:numRef>
              <c:f>'Gradacion '!$A$15:$A$24</c:f>
            </c:numRef>
          </c:xVal>
          <c:yVal>
            <c:numRef>
              <c:f>'Gradacion '!$AC$15:$AC$24</c:f>
              <c:numCache>
                <c:formatCode>0</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0-61D4-468D-8BC8-6000571FA199}"/>
            </c:ext>
          </c:extLst>
        </c:ser>
        <c:ser>
          <c:idx val="3"/>
          <c:order val="1"/>
          <c:tx>
            <c:v>Límite inferior</c:v>
          </c:tx>
          <c:spPr>
            <a:ln w="12700">
              <a:solidFill>
                <a:srgbClr val="0070C0"/>
              </a:solidFill>
              <a:prstDash val="dashDot"/>
            </a:ln>
          </c:spPr>
          <c:marker>
            <c:symbol val="none"/>
          </c:marker>
          <c:xVal>
            <c:numRef>
              <c:f>'Gradacion '!$A$15:$A$24</c:f>
            </c:numRef>
          </c:xVal>
          <c:yVal>
            <c:numRef>
              <c:f>'Gradacion '!$AG$15:$AG$24</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1-61D4-468D-8BC8-6000571FA199}"/>
            </c:ext>
          </c:extLst>
        </c:ser>
        <c:ser>
          <c:idx val="4"/>
          <c:order val="2"/>
          <c:tx>
            <c:v>Límite superior</c:v>
          </c:tx>
          <c:spPr>
            <a:ln w="12700">
              <a:solidFill>
                <a:srgbClr val="0070C0"/>
              </a:solidFill>
              <a:prstDash val="dashDot"/>
            </a:ln>
          </c:spPr>
          <c:marker>
            <c:symbol val="none"/>
          </c:marker>
          <c:xVal>
            <c:numRef>
              <c:f>'Gradacion '!$A$15:$A$24</c:f>
            </c:numRef>
          </c:xVal>
          <c:yVal>
            <c:numRef>
              <c:f>'Gradacion '!$AK$15:$AK$24</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2-61D4-468D-8BC8-6000571FA199}"/>
            </c:ext>
          </c:extLst>
        </c:ser>
        <c:dLbls>
          <c:showLegendKey val="0"/>
          <c:showVal val="0"/>
          <c:showCatName val="0"/>
          <c:showSerName val="0"/>
          <c:showPercent val="0"/>
          <c:showBubbleSize val="0"/>
        </c:dLbls>
        <c:axId val="-1534237680"/>
        <c:axId val="-1534231696"/>
      </c:scatterChart>
      <c:valAx>
        <c:axId val="-1534237680"/>
        <c:scaling>
          <c:logBase val="10"/>
          <c:orientation val="maxMin"/>
          <c:max val="310"/>
        </c:scaling>
        <c:delete val="0"/>
        <c:axPos val="b"/>
        <c:majorGridlines>
          <c:spPr>
            <a:ln w="3175">
              <a:solidFill>
                <a:srgbClr val="000000"/>
              </a:solidFill>
              <a:prstDash val="solid"/>
            </a:ln>
          </c:spPr>
        </c:majorGridlines>
        <c:minorGridlines>
          <c:spPr>
            <a:ln w="3175">
              <a:solidFill>
                <a:schemeClr val="tx1">
                  <a:lumMod val="50000"/>
                  <a:lumOff val="50000"/>
                </a:schemeClr>
              </a:solidFill>
              <a:prstDash val="solid"/>
            </a:ln>
          </c:spPr>
        </c:minorGridlines>
        <c:title>
          <c:tx>
            <c:rich>
              <a:bodyPr/>
              <a:lstStyle/>
              <a:p>
                <a:pPr>
                  <a:defRPr sz="800" b="1" i="0" u="none" strike="noStrike" baseline="0">
                    <a:solidFill>
                      <a:srgbClr val="000000"/>
                    </a:solidFill>
                    <a:latin typeface="Arial"/>
                    <a:ea typeface="Arial"/>
                    <a:cs typeface="Arial"/>
                  </a:defRPr>
                </a:pPr>
                <a:r>
                  <a:rPr lang="es-CO"/>
                  <a:t>Diámetro de las partículas (mm)</a:t>
                </a:r>
              </a:p>
            </c:rich>
          </c:tx>
          <c:layout>
            <c:manualLayout>
              <c:xMode val="edge"/>
              <c:yMode val="edge"/>
              <c:x val="0.39856282859559738"/>
              <c:y val="0.93673086165849284"/>
            </c:manualLayout>
          </c:layout>
          <c:overlay val="0"/>
          <c:spPr>
            <a:noFill/>
            <a:ln w="25400">
              <a:noFill/>
            </a:ln>
          </c:spPr>
        </c:title>
        <c:numFmt formatCode="0.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1696"/>
        <c:crosses val="autoZero"/>
        <c:crossBetween val="midCat"/>
      </c:valAx>
      <c:valAx>
        <c:axId val="-1534231696"/>
        <c:scaling>
          <c:orientation val="minMax"/>
          <c:max val="100"/>
          <c:min val="0"/>
        </c:scaling>
        <c:delete val="0"/>
        <c:axPos val="l"/>
        <c:majorGridlines>
          <c:spPr>
            <a:ln w="3175">
              <a:solidFill>
                <a:schemeClr val="bg1">
                  <a:lumMod val="50000"/>
                </a:schemeClr>
              </a:solidFill>
              <a:prstDash val="solid"/>
            </a:ln>
          </c:spPr>
        </c:majorGridlines>
        <c:title>
          <c:tx>
            <c:rich>
              <a:bodyPr/>
              <a:lstStyle/>
              <a:p>
                <a:pPr>
                  <a:defRPr sz="800" b="1" i="0" u="none" strike="noStrike" baseline="0">
                    <a:solidFill>
                      <a:srgbClr val="000000"/>
                    </a:solidFill>
                    <a:latin typeface="Arial"/>
                    <a:ea typeface="Arial"/>
                    <a:cs typeface="Arial"/>
                  </a:defRPr>
                </a:pPr>
                <a:r>
                  <a:rPr lang="es-CO" sz="800" b="0"/>
                  <a:t>%</a:t>
                </a:r>
                <a:r>
                  <a:rPr lang="es-CO" sz="800" baseline="0"/>
                  <a:t> Pasa</a:t>
                </a:r>
                <a:endParaRPr lang="es-CO" sz="800"/>
              </a:p>
            </c:rich>
          </c:tx>
          <c:layout>
            <c:manualLayout>
              <c:xMode val="edge"/>
              <c:yMode val="edge"/>
              <c:x val="2.2308851666231443E-2"/>
              <c:y val="0.3929070539334369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7680"/>
        <c:crosses val="max"/>
        <c:crossBetween val="midCat"/>
      </c:valAx>
      <c:spPr>
        <a:noFill/>
        <a:ln w="25400">
          <a:solidFill>
            <a:schemeClr val="bg1"/>
          </a:solidFill>
        </a:ln>
      </c:spPr>
    </c:plotArea>
    <c:legend>
      <c:legendPos val="r"/>
      <c:layout>
        <c:manualLayout>
          <c:xMode val="edge"/>
          <c:yMode val="edge"/>
          <c:x val="0.74926744598691408"/>
          <c:y val="7.201547175024299E-2"/>
          <c:w val="0.24424557372095554"/>
          <c:h val="0.22150013089900344"/>
        </c:manualLayout>
      </c:layout>
      <c:overlay val="0"/>
      <c:spPr>
        <a:solidFill>
          <a:srgbClr val="FFFFFF"/>
        </a:solidFill>
        <a:ln w="3175">
          <a:noFill/>
          <a:prstDash val="solid"/>
        </a:ln>
      </c:spPr>
      <c:txPr>
        <a:bodyPr/>
        <a:lstStyle/>
        <a:p>
          <a:pPr>
            <a:defRPr sz="900" b="0" i="0" u="none" strike="noStrike" baseline="0">
              <a:solidFill>
                <a:srgbClr val="000000"/>
              </a:solidFill>
              <a:latin typeface="Arial"/>
              <a:ea typeface="Arial"/>
              <a:cs typeface="Arial"/>
            </a:defRPr>
          </a:pPr>
          <a:endParaRPr lang="es-CO"/>
        </a:p>
      </c:txPr>
    </c:legend>
    <c:plotVisOnly val="0"/>
    <c:dispBlanksAs val="span"/>
    <c:showDLblsOverMax val="0"/>
  </c:chart>
  <c:spPr>
    <a:solidFill>
      <a:srgbClr val="FFFFFF"/>
    </a:solidFill>
    <a:ln w="25400">
      <a:solidFill>
        <a:schemeClr val="bg1"/>
      </a:solidFill>
      <a:prstDash val="solid"/>
    </a:ln>
  </c:spPr>
  <c:txPr>
    <a:bodyPr/>
    <a:lstStyle/>
    <a:p>
      <a:pPr>
        <a:defRPr sz="160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876261861498083"/>
          <c:y val="9.4659764751628267E-2"/>
          <c:w val="0.79433121340601665"/>
          <c:h val="0.72987569337340485"/>
        </c:manualLayout>
      </c:layout>
      <c:scatterChart>
        <c:scatterStyle val="smoothMarker"/>
        <c:varyColors val="0"/>
        <c:ser>
          <c:idx val="0"/>
          <c:order val="0"/>
          <c:tx>
            <c:v>curva de compactaciòn seco</c:v>
          </c:tx>
          <c:spPr>
            <a:ln w="19050"/>
          </c:spPr>
          <c:marker>
            <c:symbol val="triangle"/>
            <c:size val="5"/>
            <c:spPr>
              <a:solidFill>
                <a:schemeClr val="accent1"/>
              </a:solidFill>
              <a:ln>
                <a:solidFill>
                  <a:srgbClr val="4F81BD">
                    <a:shade val="95000"/>
                    <a:satMod val="105000"/>
                  </a:srgbClr>
                </a:solidFill>
              </a:ln>
            </c:spPr>
          </c:marker>
          <c:xVal>
            <c:numRef>
              <c:f>PROCTOR!$P$21:$T$21</c:f>
            </c:numRef>
          </c:xVal>
          <c:yVal>
            <c:numRef>
              <c:f>PROCTOR!$P$13:$T$13</c:f>
              <c:numCache>
                <c:formatCode>0.00</c:formatCode>
                <c:ptCount val="5"/>
                <c:pt idx="0">
                  <c:v>0</c:v>
                </c:pt>
                <c:pt idx="1">
                  <c:v>0</c:v>
                </c:pt>
                <c:pt idx="2">
                  <c:v>0</c:v>
                </c:pt>
                <c:pt idx="3">
                  <c:v>0</c:v>
                </c:pt>
                <c:pt idx="4">
                  <c:v>0</c:v>
                </c:pt>
              </c:numCache>
            </c:numRef>
          </c:yVal>
          <c:smooth val="1"/>
          <c:extLst>
            <c:ext xmlns:c16="http://schemas.microsoft.com/office/drawing/2014/chart" uri="{C3380CC4-5D6E-409C-BE32-E72D297353CC}">
              <c16:uniqueId val="{00000000-0FFF-48BC-9AC3-9726AB04CD90}"/>
            </c:ext>
          </c:extLst>
        </c:ser>
        <c:ser>
          <c:idx val="1"/>
          <c:order val="1"/>
          <c:tx>
            <c:v>Curva de Compactación Húmedo</c:v>
          </c:tx>
          <c:spPr>
            <a:ln w="19050" cap="sq"/>
          </c:spPr>
          <c:marker>
            <c:symbol val="circle"/>
            <c:size val="5"/>
            <c:spPr>
              <a:solidFill>
                <a:srgbClr val="C00000"/>
              </a:solidFill>
            </c:spPr>
          </c:marker>
          <c:dPt>
            <c:idx val="1"/>
            <c:bubble3D val="0"/>
            <c:spPr>
              <a:ln w="19050" cap="sq">
                <a:bevel/>
              </a:ln>
            </c:spPr>
            <c:extLst>
              <c:ext xmlns:c16="http://schemas.microsoft.com/office/drawing/2014/chart" uri="{C3380CC4-5D6E-409C-BE32-E72D297353CC}">
                <c16:uniqueId val="{00000002-0FFF-48BC-9AC3-9726AB04CD90}"/>
              </c:ext>
            </c:extLst>
          </c:dPt>
          <c:xVal>
            <c:numRef>
              <c:f>PROCTOR!$P$21:$T$21</c:f>
            </c:numRef>
          </c:xVal>
          <c:yVal>
            <c:numRef>
              <c:f>PROCTOR!$P$25:$T$25</c:f>
              <c:numCache>
                <c:formatCode>0.00</c:formatCode>
                <c:ptCount val="5"/>
                <c:pt idx="0">
                  <c:v>0</c:v>
                </c:pt>
                <c:pt idx="1">
                  <c:v>0</c:v>
                </c:pt>
                <c:pt idx="2">
                  <c:v>0</c:v>
                </c:pt>
                <c:pt idx="3">
                  <c:v>0</c:v>
                </c:pt>
                <c:pt idx="4">
                  <c:v>0</c:v>
                </c:pt>
              </c:numCache>
            </c:numRef>
          </c:yVal>
          <c:smooth val="1"/>
          <c:extLst>
            <c:ext xmlns:c16="http://schemas.microsoft.com/office/drawing/2014/chart" uri="{C3380CC4-5D6E-409C-BE32-E72D297353CC}">
              <c16:uniqueId val="{00000003-0FFF-48BC-9AC3-9726AB04CD90}"/>
            </c:ext>
          </c:extLst>
        </c:ser>
        <c:ser>
          <c:idx val="2"/>
          <c:order val="2"/>
          <c:tx>
            <c:v>Curva de Saturación</c:v>
          </c:tx>
          <c:spPr>
            <a:ln w="15875"/>
          </c:spPr>
          <c:marker>
            <c:symbol val="square"/>
            <c:size val="5"/>
            <c:spPr>
              <a:ln w="12700"/>
            </c:spPr>
          </c:marker>
          <c:xVal>
            <c:numRef>
              <c:f>PROCTOR!$P$31:$T$31</c:f>
            </c:numRef>
          </c:xVal>
          <c:yVal>
            <c:numRef>
              <c:f>PROCTOR!$P$13:$T$13</c:f>
              <c:numCache>
                <c:formatCode>0.00</c:formatCode>
                <c:ptCount val="5"/>
                <c:pt idx="0">
                  <c:v>0</c:v>
                </c:pt>
                <c:pt idx="1">
                  <c:v>0</c:v>
                </c:pt>
                <c:pt idx="2">
                  <c:v>0</c:v>
                </c:pt>
                <c:pt idx="3">
                  <c:v>0</c:v>
                </c:pt>
                <c:pt idx="4">
                  <c:v>0</c:v>
                </c:pt>
              </c:numCache>
            </c:numRef>
          </c:yVal>
          <c:smooth val="1"/>
          <c:extLst>
            <c:ext xmlns:c16="http://schemas.microsoft.com/office/drawing/2014/chart" uri="{C3380CC4-5D6E-409C-BE32-E72D297353CC}">
              <c16:uniqueId val="{00000004-0FFF-48BC-9AC3-9726AB04CD90}"/>
            </c:ext>
          </c:extLst>
        </c:ser>
        <c:dLbls>
          <c:showLegendKey val="0"/>
          <c:showVal val="0"/>
          <c:showCatName val="0"/>
          <c:showSerName val="0"/>
          <c:showPercent val="0"/>
          <c:showBubbleSize val="0"/>
        </c:dLbls>
        <c:axId val="-1534240400"/>
        <c:axId val="-1534244752"/>
      </c:scatterChart>
      <c:valAx>
        <c:axId val="-1534240400"/>
        <c:scaling>
          <c:orientation val="minMax"/>
          <c:max val="20"/>
          <c:min val="1"/>
        </c:scaling>
        <c:delete val="0"/>
        <c:axPos val="b"/>
        <c:majorGridlines>
          <c:spPr>
            <a:ln>
              <a:solidFill>
                <a:schemeClr val="tx1">
                  <a:lumMod val="50000"/>
                  <a:lumOff val="50000"/>
                </a:schemeClr>
              </a:solidFill>
            </a:ln>
          </c:spPr>
        </c:majorGridlines>
        <c:minorGridlines>
          <c:spPr>
            <a:ln>
              <a:solidFill>
                <a:schemeClr val="bg1">
                  <a:lumMod val="75000"/>
                </a:schemeClr>
              </a:solidFill>
            </a:ln>
          </c:spPr>
        </c:minorGridlines>
        <c:numFmt formatCode="0.0" sourceLinked="0"/>
        <c:majorTickMark val="out"/>
        <c:minorTickMark val="none"/>
        <c:tickLblPos val="nextTo"/>
        <c:txPr>
          <a:bodyPr rot="0" vert="horz"/>
          <a:lstStyle/>
          <a:p>
            <a:pPr>
              <a:defRPr sz="800" b="0" i="0" u="none" strike="noStrike" baseline="0">
                <a:solidFill>
                  <a:srgbClr val="000000"/>
                </a:solidFill>
                <a:latin typeface="Arial" panose="020B0604020202020204" pitchFamily="34" charset="0"/>
                <a:ea typeface="Calibri"/>
                <a:cs typeface="Calibri"/>
              </a:defRPr>
            </a:pPr>
            <a:endParaRPr lang="es-CO"/>
          </a:p>
        </c:txPr>
        <c:crossAx val="-1534244752"/>
        <c:crosses val="autoZero"/>
        <c:crossBetween val="midCat"/>
      </c:valAx>
      <c:valAx>
        <c:axId val="-1534244752"/>
        <c:scaling>
          <c:orientation val="minMax"/>
          <c:max val="25"/>
          <c:min val="17.5"/>
        </c:scaling>
        <c:delete val="0"/>
        <c:axPos val="l"/>
        <c:majorGridlines/>
        <c:numFmt formatCode="0.0" sourceLinked="0"/>
        <c:majorTickMark val="out"/>
        <c:minorTickMark val="none"/>
        <c:tickLblPos val="nextTo"/>
        <c:txPr>
          <a:bodyPr rot="0" vert="horz"/>
          <a:lstStyle/>
          <a:p>
            <a:pPr>
              <a:defRPr sz="800" b="0" i="0" u="none" strike="noStrike" baseline="0">
                <a:solidFill>
                  <a:srgbClr val="000000"/>
                </a:solidFill>
                <a:latin typeface="Arial" panose="020B0604020202020204" pitchFamily="34" charset="0"/>
                <a:ea typeface="Calibri"/>
                <a:cs typeface="Calibri"/>
              </a:defRPr>
            </a:pPr>
            <a:endParaRPr lang="es-CO"/>
          </a:p>
        </c:txPr>
        <c:crossAx val="-1534240400"/>
        <c:crosses val="autoZero"/>
        <c:crossBetween val="midCat"/>
      </c:valAx>
    </c:plotArea>
    <c:legend>
      <c:legendPos val="r"/>
      <c:layout>
        <c:manualLayout>
          <c:xMode val="edge"/>
          <c:yMode val="edge"/>
          <c:x val="0.54098906386701651"/>
          <c:y val="0.6885507824180207"/>
          <c:w val="0.40221697287839031"/>
          <c:h val="0.13503571547227491"/>
        </c:manualLayout>
      </c:layout>
      <c:overlay val="0"/>
      <c:spPr>
        <a:solidFill>
          <a:schemeClr val="bg1"/>
        </a:solidFill>
        <a:ln>
          <a:solidFill>
            <a:schemeClr val="tx1">
              <a:lumMod val="50000"/>
              <a:lumOff val="50000"/>
            </a:schemeClr>
          </a:solidFill>
        </a:ln>
      </c:spPr>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spPr>
    <a:solidFill>
      <a:schemeClr val="bg1">
        <a:lumMod val="85000"/>
      </a:schemeClr>
    </a:solidFill>
    <a:ln>
      <a:solidFill>
        <a:schemeClr val="bg1">
          <a:lumMod val="95000"/>
          <a:alpha val="95000"/>
        </a:schemeClr>
      </a:solidFill>
    </a:ln>
    <a:effectLst>
      <a:outerShdw blurRad="50800" dist="50800" dir="5400000" algn="ctr" rotWithShape="0">
        <a:schemeClr val="bg1">
          <a:lumMod val="85000"/>
        </a:schemeClr>
      </a:outerShdw>
      <a:softEdge rad="63500"/>
    </a:effectLst>
    <a:scene3d>
      <a:camera prst="orthographicFront"/>
      <a:lightRig rig="threePt" dir="t"/>
    </a:scene3d>
    <a:sp3d prstMaterial="matte"/>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999" l="0.70000000000000062" r="0.70000000000000062" t="0.75000000000000999" header="0.30000000000000032" footer="0.30000000000000032"/>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a:ea typeface="Arial"/>
                <a:cs typeface="Arial"/>
              </a:defRPr>
            </a:pPr>
            <a:r>
              <a:rPr lang="es-CO" sz="900"/>
              <a:t>ENSAYO C.B.R. CURVAS DE PENETRACIÓN
</a:t>
            </a:r>
          </a:p>
        </c:rich>
      </c:tx>
      <c:layout>
        <c:manualLayout>
          <c:xMode val="edge"/>
          <c:yMode val="edge"/>
          <c:x val="0.29171309055117711"/>
          <c:y val="3.0148119596938479E-2"/>
        </c:manualLayout>
      </c:layout>
      <c:overlay val="0"/>
      <c:spPr>
        <a:noFill/>
        <a:ln w="25400">
          <a:noFill/>
        </a:ln>
      </c:spPr>
    </c:title>
    <c:autoTitleDeleted val="0"/>
    <c:plotArea>
      <c:layout>
        <c:manualLayout>
          <c:layoutTarget val="inner"/>
          <c:xMode val="edge"/>
          <c:yMode val="edge"/>
          <c:x val="8.3228510498687708E-2"/>
          <c:y val="0.13271589303085371"/>
          <c:w val="0.77340551181102368"/>
          <c:h val="0.72170952407172884"/>
        </c:manualLayout>
      </c:layout>
      <c:scatterChart>
        <c:scatterStyle val="lineMarker"/>
        <c:varyColors val="0"/>
        <c:ser>
          <c:idx val="0"/>
          <c:order val="0"/>
          <c:tx>
            <c:v>Curva Nº1     56 Golpes</c:v>
          </c:tx>
          <c:spPr>
            <a:ln w="12700">
              <a:solidFill>
                <a:schemeClr val="tx2"/>
              </a:solidFill>
              <a:prstDash val="solid"/>
            </a:ln>
          </c:spPr>
          <c:marker>
            <c:symbol val="circle"/>
            <c:size val="4"/>
            <c:spPr>
              <a:noFill/>
              <a:ln>
                <a:solidFill>
                  <a:schemeClr val="tx2"/>
                </a:solidFill>
                <a:prstDash val="solid"/>
              </a:ln>
            </c:spPr>
          </c:marker>
          <c:xVal>
            <c:numRef>
              <c:f>' CBR 1'!$AK$15:$AK$27</c:f>
              <c:numCache>
                <c:formatCode>0.000</c:formatCode>
                <c:ptCount val="13"/>
                <c:pt idx="1">
                  <c:v>0</c:v>
                </c:pt>
                <c:pt idx="2">
                  <c:v>2.5000000000000001E-2</c:v>
                </c:pt>
                <c:pt idx="3">
                  <c:v>0.05</c:v>
                </c:pt>
                <c:pt idx="4">
                  <c:v>7.4999999999999997E-2</c:v>
                </c:pt>
                <c:pt idx="5">
                  <c:v>0.1</c:v>
                </c:pt>
                <c:pt idx="6">
                  <c:v>0.125</c:v>
                </c:pt>
                <c:pt idx="7">
                  <c:v>0.15</c:v>
                </c:pt>
                <c:pt idx="8">
                  <c:v>0.17499999999999999</c:v>
                </c:pt>
                <c:pt idx="9">
                  <c:v>0.2</c:v>
                </c:pt>
                <c:pt idx="10">
                  <c:v>0.3</c:v>
                </c:pt>
                <c:pt idx="11">
                  <c:v>0.4</c:v>
                </c:pt>
                <c:pt idx="12">
                  <c:v>0.5</c:v>
                </c:pt>
              </c:numCache>
            </c:numRef>
          </c:xVal>
          <c:yVal>
            <c:numRef>
              <c:f>' CBR 1'!$AM$15:$AM$27</c:f>
              <c:numCache>
                <c:formatCode>0.0</c:formatCode>
                <c:ptCount val="13"/>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0-CAEF-4B74-B72E-8C61FBF9AEEF}"/>
            </c:ext>
          </c:extLst>
        </c:ser>
        <c:ser>
          <c:idx val="1"/>
          <c:order val="1"/>
          <c:tx>
            <c:v>Curva Nº2   25 golpes </c:v>
          </c:tx>
          <c:spPr>
            <a:ln w="12700">
              <a:solidFill>
                <a:srgbClr val="004C22"/>
              </a:solidFill>
              <a:prstDash val="solid"/>
            </a:ln>
          </c:spPr>
          <c:marker>
            <c:symbol val="square"/>
            <c:size val="4"/>
            <c:spPr>
              <a:noFill/>
              <a:ln>
                <a:solidFill>
                  <a:srgbClr val="004C22"/>
                </a:solidFill>
                <a:prstDash val="solid"/>
              </a:ln>
            </c:spPr>
          </c:marker>
          <c:xVal>
            <c:numRef>
              <c:f>' CBR 1'!$AK$15:$AK$27</c:f>
              <c:numCache>
                <c:formatCode>0.000</c:formatCode>
                <c:ptCount val="13"/>
                <c:pt idx="1">
                  <c:v>0</c:v>
                </c:pt>
                <c:pt idx="2">
                  <c:v>2.5000000000000001E-2</c:v>
                </c:pt>
                <c:pt idx="3">
                  <c:v>0.05</c:v>
                </c:pt>
                <c:pt idx="4">
                  <c:v>7.4999999999999997E-2</c:v>
                </c:pt>
                <c:pt idx="5">
                  <c:v>0.1</c:v>
                </c:pt>
                <c:pt idx="6">
                  <c:v>0.125</c:v>
                </c:pt>
                <c:pt idx="7">
                  <c:v>0.15</c:v>
                </c:pt>
                <c:pt idx="8">
                  <c:v>0.17499999999999999</c:v>
                </c:pt>
                <c:pt idx="9">
                  <c:v>0.2</c:v>
                </c:pt>
                <c:pt idx="10">
                  <c:v>0.3</c:v>
                </c:pt>
                <c:pt idx="11">
                  <c:v>0.4</c:v>
                </c:pt>
                <c:pt idx="12">
                  <c:v>0.5</c:v>
                </c:pt>
              </c:numCache>
            </c:numRef>
          </c:xVal>
          <c:yVal>
            <c:numRef>
              <c:f>' CBR 1'!$AO$15:$AO$27</c:f>
              <c:numCache>
                <c:formatCode>0.0</c:formatCode>
                <c:ptCount val="13"/>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1-CAEF-4B74-B72E-8C61FBF9AEEF}"/>
            </c:ext>
          </c:extLst>
        </c:ser>
        <c:ser>
          <c:idx val="2"/>
          <c:order val="2"/>
          <c:tx>
            <c:v>curva Nº3    10 golpes</c:v>
          </c:tx>
          <c:spPr>
            <a:ln w="12700">
              <a:solidFill>
                <a:srgbClr val="FF0000"/>
              </a:solidFill>
              <a:prstDash val="solid"/>
            </a:ln>
          </c:spPr>
          <c:marker>
            <c:symbol val="triangle"/>
            <c:size val="4"/>
            <c:spPr>
              <a:noFill/>
              <a:ln>
                <a:solidFill>
                  <a:srgbClr val="FF0000"/>
                </a:solidFill>
                <a:prstDash val="solid"/>
              </a:ln>
            </c:spPr>
          </c:marker>
          <c:xVal>
            <c:numRef>
              <c:f>' CBR 1'!$AK$15:$AK$27</c:f>
              <c:numCache>
                <c:formatCode>0.000</c:formatCode>
                <c:ptCount val="13"/>
                <c:pt idx="1">
                  <c:v>0</c:v>
                </c:pt>
                <c:pt idx="2">
                  <c:v>2.5000000000000001E-2</c:v>
                </c:pt>
                <c:pt idx="3">
                  <c:v>0.05</c:v>
                </c:pt>
                <c:pt idx="4">
                  <c:v>7.4999999999999997E-2</c:v>
                </c:pt>
                <c:pt idx="5">
                  <c:v>0.1</c:v>
                </c:pt>
                <c:pt idx="6">
                  <c:v>0.125</c:v>
                </c:pt>
                <c:pt idx="7">
                  <c:v>0.15</c:v>
                </c:pt>
                <c:pt idx="8">
                  <c:v>0.17499999999999999</c:v>
                </c:pt>
                <c:pt idx="9">
                  <c:v>0.2</c:v>
                </c:pt>
                <c:pt idx="10">
                  <c:v>0.3</c:v>
                </c:pt>
                <c:pt idx="11">
                  <c:v>0.4</c:v>
                </c:pt>
                <c:pt idx="12">
                  <c:v>0.5</c:v>
                </c:pt>
              </c:numCache>
            </c:numRef>
          </c:xVal>
          <c:yVal>
            <c:numRef>
              <c:f>' CBR 1'!$AQ$15:$AQ$27</c:f>
              <c:numCache>
                <c:formatCode>0.0</c:formatCode>
                <c:ptCount val="13"/>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2-CAEF-4B74-B72E-8C61FBF9AEEF}"/>
            </c:ext>
          </c:extLst>
        </c:ser>
        <c:dLbls>
          <c:showLegendKey val="0"/>
          <c:showVal val="0"/>
          <c:showCatName val="0"/>
          <c:showSerName val="0"/>
          <c:showPercent val="0"/>
          <c:showBubbleSize val="0"/>
        </c:dLbls>
        <c:axId val="-1534239856"/>
        <c:axId val="-1534238224"/>
      </c:scatterChart>
      <c:valAx>
        <c:axId val="-1534239856"/>
        <c:scaling>
          <c:orientation val="minMax"/>
        </c:scaling>
        <c:delete val="0"/>
        <c:axPos val="b"/>
        <c:majorGridlines>
          <c:spPr>
            <a:ln w="3175">
              <a:solidFill>
                <a:schemeClr val="tx1">
                  <a:lumMod val="75000"/>
                  <a:lumOff val="25000"/>
                </a:schemeClr>
              </a:solidFill>
              <a:prstDash val="solid"/>
            </a:ln>
          </c:spPr>
        </c:majorGridlines>
        <c:minorGridlines>
          <c:spPr>
            <a:ln w="3175">
              <a:solidFill>
                <a:schemeClr val="bg1">
                  <a:lumMod val="85000"/>
                </a:schemeClr>
              </a:solidFill>
              <a:prstDash val="solid"/>
            </a:ln>
            <a:effectLst/>
          </c:spPr>
        </c:minorGridlines>
        <c:title>
          <c:tx>
            <c:rich>
              <a:bodyPr/>
              <a:lstStyle/>
              <a:p>
                <a:pPr>
                  <a:defRPr sz="900" b="1" i="0" u="none" strike="noStrike" baseline="0">
                    <a:solidFill>
                      <a:srgbClr val="000000"/>
                    </a:solidFill>
                    <a:latin typeface="Arial"/>
                    <a:ea typeface="Arial"/>
                    <a:cs typeface="Arial"/>
                  </a:defRPr>
                </a:pPr>
                <a:r>
                  <a:rPr lang="es-CO" sz="900"/>
                  <a:t>Penetración (plg)</a:t>
                </a:r>
              </a:p>
            </c:rich>
          </c:tx>
          <c:layout>
            <c:manualLayout>
              <c:xMode val="edge"/>
              <c:yMode val="edge"/>
              <c:x val="0.41201109691059196"/>
              <c:y val="0.92371271772846564"/>
            </c:manualLayout>
          </c:layout>
          <c:overlay val="0"/>
          <c:spPr>
            <a:noFill/>
            <a:ln w="25400">
              <a:noFill/>
            </a:ln>
          </c:spPr>
        </c:title>
        <c:numFmt formatCode="General" sourceLinked="1"/>
        <c:majorTickMark val="out"/>
        <c:minorTickMark val="in"/>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1534238224"/>
        <c:crossesAt val="0"/>
        <c:crossBetween val="midCat"/>
        <c:majorUnit val="0.11000000000000001"/>
      </c:valAx>
      <c:valAx>
        <c:axId val="-1534238224"/>
        <c:scaling>
          <c:orientation val="minMax"/>
        </c:scaling>
        <c:delete val="0"/>
        <c:axPos val="l"/>
        <c:majorGridlines>
          <c:spPr>
            <a:ln w="3175">
              <a:solidFill>
                <a:schemeClr val="bg1">
                  <a:lumMod val="50000"/>
                </a:schemeClr>
              </a:solidFill>
              <a:prstDash val="solid"/>
            </a:ln>
          </c:spPr>
        </c:majorGridlines>
        <c:title>
          <c:tx>
            <c:rich>
              <a:bodyPr/>
              <a:lstStyle/>
              <a:p>
                <a:pPr>
                  <a:defRPr sz="800" b="0" i="0" u="none" strike="noStrike" baseline="0">
                    <a:solidFill>
                      <a:srgbClr val="000000"/>
                    </a:solidFill>
                    <a:latin typeface="Calibri"/>
                    <a:ea typeface="Calibri"/>
                    <a:cs typeface="Calibri"/>
                  </a:defRPr>
                </a:pPr>
                <a:r>
                  <a:rPr lang="es-CO" sz="800" b="1" i="0" u="none" strike="noStrike" baseline="0">
                    <a:solidFill>
                      <a:srgbClr val="000000"/>
                    </a:solidFill>
                    <a:latin typeface="Arial"/>
                    <a:cs typeface="Arial"/>
                  </a:rPr>
                  <a:t>Esfuerzo (lbf</a:t>
                </a:r>
              </a:p>
              <a:p>
                <a:pPr>
                  <a:defRPr sz="800" b="0" i="0" u="none" strike="noStrike" baseline="0">
                    <a:solidFill>
                      <a:srgbClr val="000000"/>
                    </a:solidFill>
                    <a:latin typeface="Calibri"/>
                    <a:ea typeface="Calibri"/>
                    <a:cs typeface="Calibri"/>
                  </a:defRPr>
                </a:pPr>
                <a:r>
                  <a:rPr lang="es-CO" sz="800" b="1" i="0" u="none" strike="noStrike" baseline="0">
                    <a:solidFill>
                      <a:srgbClr val="000000"/>
                    </a:solidFill>
                    <a:latin typeface="Arial"/>
                    <a:cs typeface="Arial"/>
                  </a:rPr>
                  <a:t>/plg</a:t>
                </a:r>
                <a:r>
                  <a:rPr lang="es-CO" sz="800" b="1" i="0" u="none" strike="noStrike" baseline="30000">
                    <a:solidFill>
                      <a:srgbClr val="000000"/>
                    </a:solidFill>
                    <a:latin typeface="Arial"/>
                    <a:cs typeface="Arial"/>
                  </a:rPr>
                  <a:t>2</a:t>
                </a:r>
                <a:r>
                  <a:rPr lang="es-CO" sz="800" b="1" i="0" u="none" strike="noStrike" baseline="0">
                    <a:solidFill>
                      <a:srgbClr val="000000"/>
                    </a:solidFill>
                    <a:latin typeface="Arial"/>
                    <a:cs typeface="Arial"/>
                  </a:rPr>
                  <a:t>)</a:t>
                </a:r>
              </a:p>
            </c:rich>
          </c:tx>
          <c:layout>
            <c:manualLayout>
              <c:xMode val="edge"/>
              <c:yMode val="edge"/>
              <c:x val="1.323326771653544E-2"/>
              <c:y val="0.254352366793311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700" b="0" i="0" u="none" strike="noStrike" baseline="0">
                <a:solidFill>
                  <a:srgbClr val="000000"/>
                </a:solidFill>
                <a:latin typeface="Arial"/>
                <a:ea typeface="Arial"/>
                <a:cs typeface="Arial"/>
              </a:defRPr>
            </a:pPr>
            <a:endParaRPr lang="es-CO"/>
          </a:p>
        </c:txPr>
        <c:crossAx val="-1534239856"/>
        <c:crosses val="autoZero"/>
        <c:crossBetween val="midCat"/>
      </c:valAx>
      <c:spPr>
        <a:noFill/>
        <a:ln w="25400">
          <a:noFill/>
        </a:ln>
      </c:spPr>
    </c:plotArea>
    <c:legend>
      <c:legendPos val="tr"/>
      <c:layout>
        <c:manualLayout>
          <c:xMode val="edge"/>
          <c:yMode val="edge"/>
          <c:x val="0.86214924992784103"/>
          <c:y val="0.12442890442890443"/>
          <c:w val="0.1213352525892743"/>
          <c:h val="0.73298570196207979"/>
        </c:manualLayout>
      </c:layout>
      <c:overlay val="0"/>
      <c:spPr>
        <a:solidFill>
          <a:srgbClr val="FFFFFF"/>
        </a:solidFill>
        <a:ln w="3175">
          <a:noFill/>
          <a:prstDash val="solid"/>
        </a:ln>
      </c:spPr>
      <c:txPr>
        <a:bodyPr/>
        <a:lstStyle/>
        <a:p>
          <a:pPr>
            <a:defRPr sz="700"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noFill/>
      <a:prstDash val="solid"/>
    </a:ln>
    <a:effectLst>
      <a:outerShdw blurRad="50800" dist="50800" dir="5400000" algn="ctr" rotWithShape="0">
        <a:schemeClr val="bg1">
          <a:lumMod val="50000"/>
          <a:alpha val="95000"/>
        </a:schemeClr>
      </a:outerShdw>
      <a:softEdge rad="63500"/>
    </a:effectLst>
  </c:spPr>
  <c:txPr>
    <a:bodyPr/>
    <a:lstStyle/>
    <a:p>
      <a:pPr>
        <a:defRPr sz="1650" b="0" i="0" u="none" strike="noStrike" baseline="0">
          <a:solidFill>
            <a:srgbClr val="000000"/>
          </a:solidFill>
          <a:latin typeface="Arial"/>
          <a:ea typeface="Arial"/>
          <a:cs typeface="Arial"/>
        </a:defRPr>
      </a:pPr>
      <a:endParaRPr lang="es-CO"/>
    </a:p>
  </c:txPr>
  <c:printSettings>
    <c:headerFooter alignWithMargins="0"/>
    <c:pageMargins b="0" l="0.59055118110234428" r="0.19685039370078738" t="0" header="0" footer="0.78740157480314954"/>
    <c:pageSetup orientation="landscape" horizontalDpi="360" verticalDpi="360"/>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773296618422394E-2"/>
          <c:y val="0.11711763230940445"/>
          <c:w val="0.74535383632400198"/>
          <c:h val="0.70270579385642762"/>
        </c:manualLayout>
      </c:layout>
      <c:scatterChart>
        <c:scatterStyle val="smoothMarker"/>
        <c:varyColors val="0"/>
        <c:ser>
          <c:idx val="0"/>
          <c:order val="0"/>
          <c:spPr>
            <a:ln w="12700">
              <a:solidFill>
                <a:srgbClr val="000080"/>
              </a:solidFill>
              <a:prstDash val="solid"/>
            </a:ln>
          </c:spPr>
          <c:marker>
            <c:symbol val="diamond"/>
            <c:size val="5"/>
            <c:spPr>
              <a:solidFill>
                <a:srgbClr val="000080"/>
              </a:solidFill>
              <a:ln>
                <a:solidFill>
                  <a:srgbClr val="000080"/>
                </a:solidFill>
                <a:prstDash val="solid"/>
              </a:ln>
            </c:spPr>
          </c:marker>
          <c:xVal>
            <c:numRef>
              <c:f>' CBR 1'!$K$41:$K$52</c:f>
              <c:numCache>
                <c:formatCode>0.000</c:formatCode>
                <c:ptCount val="12"/>
                <c:pt idx="0">
                  <c:v>0</c:v>
                </c:pt>
                <c:pt idx="1">
                  <c:v>2.5000000000000001E-2</c:v>
                </c:pt>
                <c:pt idx="2">
                  <c:v>0.05</c:v>
                </c:pt>
                <c:pt idx="3">
                  <c:v>7.4999999999999997E-2</c:v>
                </c:pt>
                <c:pt idx="4">
                  <c:v>0.1</c:v>
                </c:pt>
                <c:pt idx="5">
                  <c:v>0.125</c:v>
                </c:pt>
                <c:pt idx="6">
                  <c:v>0.15</c:v>
                </c:pt>
                <c:pt idx="7">
                  <c:v>0.17499999999999999</c:v>
                </c:pt>
                <c:pt idx="8">
                  <c:v>0.2</c:v>
                </c:pt>
                <c:pt idx="9">
                  <c:v>0.3</c:v>
                </c:pt>
                <c:pt idx="10">
                  <c:v>0.4</c:v>
                </c:pt>
                <c:pt idx="11">
                  <c:v>0.5</c:v>
                </c:pt>
              </c:numCache>
            </c:numRef>
          </c:xVal>
          <c:yVal>
            <c:numRef>
              <c:f>' CBR 1'!$R$41:$R$52</c:f>
              <c:numCache>
                <c:formatCode>General</c:formatCode>
                <c:ptCount val="12"/>
              </c:numCache>
            </c:numRef>
          </c:yVal>
          <c:smooth val="1"/>
          <c:extLst>
            <c:ext xmlns:c16="http://schemas.microsoft.com/office/drawing/2014/chart" uri="{C3380CC4-5D6E-409C-BE32-E72D297353CC}">
              <c16:uniqueId val="{00000000-AF4F-4281-9F30-816CC73F51B2}"/>
            </c:ext>
          </c:extLst>
        </c:ser>
        <c:ser>
          <c:idx val="1"/>
          <c:order val="1"/>
          <c:spPr>
            <a:ln w="12700">
              <a:solidFill>
                <a:srgbClr val="FF00FF"/>
              </a:solidFill>
              <a:prstDash val="solid"/>
            </a:ln>
          </c:spPr>
          <c:marker>
            <c:symbol val="square"/>
            <c:size val="5"/>
            <c:spPr>
              <a:solidFill>
                <a:srgbClr val="FF00FF"/>
              </a:solidFill>
              <a:ln>
                <a:solidFill>
                  <a:srgbClr val="FF00FF"/>
                </a:solidFill>
                <a:prstDash val="solid"/>
              </a:ln>
            </c:spPr>
          </c:marker>
          <c:xVal>
            <c:numRef>
              <c:f>' CBR 1'!$K$41:$K$52</c:f>
              <c:numCache>
                <c:formatCode>0.000</c:formatCode>
                <c:ptCount val="12"/>
                <c:pt idx="0">
                  <c:v>0</c:v>
                </c:pt>
                <c:pt idx="1">
                  <c:v>2.5000000000000001E-2</c:v>
                </c:pt>
                <c:pt idx="2">
                  <c:v>0.05</c:v>
                </c:pt>
                <c:pt idx="3">
                  <c:v>7.4999999999999997E-2</c:v>
                </c:pt>
                <c:pt idx="4">
                  <c:v>0.1</c:v>
                </c:pt>
                <c:pt idx="5">
                  <c:v>0.125</c:v>
                </c:pt>
                <c:pt idx="6">
                  <c:v>0.15</c:v>
                </c:pt>
                <c:pt idx="7">
                  <c:v>0.17499999999999999</c:v>
                </c:pt>
                <c:pt idx="8">
                  <c:v>0.2</c:v>
                </c:pt>
                <c:pt idx="9">
                  <c:v>0.3</c:v>
                </c:pt>
                <c:pt idx="10">
                  <c:v>0.4</c:v>
                </c:pt>
                <c:pt idx="11">
                  <c:v>0.5</c:v>
                </c:pt>
              </c:numCache>
            </c:numRef>
          </c:xVal>
          <c:yVal>
            <c:numRef>
              <c:f>' CBR 1'!$W$41:$W$52</c:f>
              <c:numCache>
                <c:formatCode>General</c:formatCode>
                <c:ptCount val="12"/>
              </c:numCache>
            </c:numRef>
          </c:yVal>
          <c:smooth val="1"/>
          <c:extLst>
            <c:ext xmlns:c16="http://schemas.microsoft.com/office/drawing/2014/chart" uri="{C3380CC4-5D6E-409C-BE32-E72D297353CC}">
              <c16:uniqueId val="{00000001-AF4F-4281-9F30-816CC73F51B2}"/>
            </c:ext>
          </c:extLst>
        </c:ser>
        <c:ser>
          <c:idx val="2"/>
          <c:order val="2"/>
          <c:spPr>
            <a:ln w="12700">
              <a:solidFill>
                <a:srgbClr val="FFFF00"/>
              </a:solidFill>
              <a:prstDash val="solid"/>
            </a:ln>
          </c:spPr>
          <c:marker>
            <c:symbol val="triangle"/>
            <c:size val="5"/>
            <c:spPr>
              <a:solidFill>
                <a:srgbClr val="FFFF00"/>
              </a:solidFill>
              <a:ln>
                <a:solidFill>
                  <a:srgbClr val="FFFF00"/>
                </a:solidFill>
                <a:prstDash val="solid"/>
              </a:ln>
            </c:spPr>
          </c:marker>
          <c:xVal>
            <c:numRef>
              <c:f>' CBR 1'!$K$41:$K$52</c:f>
              <c:numCache>
                <c:formatCode>0.000</c:formatCode>
                <c:ptCount val="12"/>
                <c:pt idx="0">
                  <c:v>0</c:v>
                </c:pt>
                <c:pt idx="1">
                  <c:v>2.5000000000000001E-2</c:v>
                </c:pt>
                <c:pt idx="2">
                  <c:v>0.05</c:v>
                </c:pt>
                <c:pt idx="3">
                  <c:v>7.4999999999999997E-2</c:v>
                </c:pt>
                <c:pt idx="4">
                  <c:v>0.1</c:v>
                </c:pt>
                <c:pt idx="5">
                  <c:v>0.125</c:v>
                </c:pt>
                <c:pt idx="6">
                  <c:v>0.15</c:v>
                </c:pt>
                <c:pt idx="7">
                  <c:v>0.17499999999999999</c:v>
                </c:pt>
                <c:pt idx="8">
                  <c:v>0.2</c:v>
                </c:pt>
                <c:pt idx="9">
                  <c:v>0.3</c:v>
                </c:pt>
                <c:pt idx="10">
                  <c:v>0.4</c:v>
                </c:pt>
                <c:pt idx="11">
                  <c:v>0.5</c:v>
                </c:pt>
              </c:numCache>
            </c:numRef>
          </c:xVal>
          <c:yVal>
            <c:numRef>
              <c:f>' CBR 1'!$AB$41:$AB$52</c:f>
              <c:numCache>
                <c:formatCode>General</c:formatCode>
                <c:ptCount val="12"/>
              </c:numCache>
            </c:numRef>
          </c:yVal>
          <c:smooth val="1"/>
          <c:extLst>
            <c:ext xmlns:c16="http://schemas.microsoft.com/office/drawing/2014/chart" uri="{C3380CC4-5D6E-409C-BE32-E72D297353CC}">
              <c16:uniqueId val="{00000002-AF4F-4281-9F30-816CC73F51B2}"/>
            </c:ext>
          </c:extLst>
        </c:ser>
        <c:dLbls>
          <c:showLegendKey val="0"/>
          <c:showVal val="0"/>
          <c:showCatName val="0"/>
          <c:showSerName val="0"/>
          <c:showPercent val="0"/>
          <c:showBubbleSize val="0"/>
        </c:dLbls>
        <c:axId val="-1534233328"/>
        <c:axId val="-1529579792"/>
      </c:scatterChart>
      <c:valAx>
        <c:axId val="-1534233328"/>
        <c:scaling>
          <c:orientation val="minMax"/>
        </c:scaling>
        <c:delete val="0"/>
        <c:axPos val="b"/>
        <c:numFmt formatCode="0.000"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s-CO"/>
          </a:p>
        </c:txPr>
        <c:crossAx val="-1529579792"/>
        <c:crosses val="autoZero"/>
        <c:crossBetween val="midCat"/>
      </c:valAx>
      <c:valAx>
        <c:axId val="-15295797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s-CO"/>
          </a:p>
        </c:txPr>
        <c:crossAx val="-1534233328"/>
        <c:crosses val="autoZero"/>
        <c:crossBetween val="midCat"/>
      </c:valAx>
      <c:spPr>
        <a:solidFill>
          <a:srgbClr val="C0C0C0"/>
        </a:solidFill>
        <a:ln w="12700">
          <a:solidFill>
            <a:srgbClr val="808080"/>
          </a:solidFill>
          <a:prstDash val="solid"/>
        </a:ln>
      </c:spPr>
    </c:plotArea>
    <c:legend>
      <c:legendPos val="r"/>
      <c:layout>
        <c:manualLayout>
          <c:xMode val="edge"/>
          <c:yMode val="edge"/>
          <c:x val="0.85471406491499224"/>
          <c:y val="0.34657105361829771"/>
          <c:w val="0.13755795981452856"/>
          <c:h val="0.25992829021372332"/>
        </c:manualLayout>
      </c:layout>
      <c:overlay val="0"/>
      <c:spPr>
        <a:solidFill>
          <a:srgbClr val="FFFFFF"/>
        </a:solidFill>
        <a:ln w="3175">
          <a:solidFill>
            <a:srgbClr val="000000"/>
          </a:solidFill>
          <a:prstDash val="solid"/>
        </a:ln>
      </c:spPr>
      <c:txPr>
        <a:bodyPr/>
        <a:lstStyle/>
        <a:p>
          <a:pPr>
            <a:defRPr sz="655"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988" r="0.75000000000000988"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jpeg"/><Relationship Id="rId4" Type="http://schemas.openxmlformats.org/officeDocument/2006/relationships/image" Target="../media/image4.emf"/></Relationships>
</file>

<file path=xl/drawings/_rels/drawing11.xml.rels><?xml version="1.0" encoding="UTF-8" standalone="yes"?>
<Relationships xmlns="http://schemas.openxmlformats.org/package/2006/relationships"><Relationship Id="rId3" Type="http://schemas.openxmlformats.org/officeDocument/2006/relationships/image" Target="../media/image19.emf"/><Relationship Id="rId2" Type="http://schemas.openxmlformats.org/officeDocument/2006/relationships/image" Target="../media/image1.jpeg"/><Relationship Id="rId1" Type="http://schemas.openxmlformats.org/officeDocument/2006/relationships/chart" Target="../charts/chart11.xml"/><Relationship Id="rId5" Type="http://schemas.openxmlformats.org/officeDocument/2006/relationships/image" Target="../media/image4.emf"/><Relationship Id="rId4" Type="http://schemas.openxmlformats.org/officeDocument/2006/relationships/image" Target="../media/image3.emf"/></Relationships>
</file>

<file path=xl/drawings/_rels/drawing13.xml.rels><?xml version="1.0" encoding="UTF-8" standalone="yes"?>
<Relationships xmlns="http://schemas.openxmlformats.org/package/2006/relationships"><Relationship Id="rId8" Type="http://schemas.openxmlformats.org/officeDocument/2006/relationships/image" Target="../media/image26.jpeg"/><Relationship Id="rId13" Type="http://schemas.openxmlformats.org/officeDocument/2006/relationships/image" Target="../media/image31.png"/><Relationship Id="rId18" Type="http://schemas.openxmlformats.org/officeDocument/2006/relationships/image" Target="../media/image36.png"/><Relationship Id="rId3" Type="http://schemas.openxmlformats.org/officeDocument/2006/relationships/image" Target="../media/image22.png"/><Relationship Id="rId21" Type="http://schemas.openxmlformats.org/officeDocument/2006/relationships/image" Target="../media/image39.png"/><Relationship Id="rId7" Type="http://schemas.openxmlformats.org/officeDocument/2006/relationships/image" Target="../media/image25.png"/><Relationship Id="rId12" Type="http://schemas.openxmlformats.org/officeDocument/2006/relationships/image" Target="../media/image30.png"/><Relationship Id="rId17" Type="http://schemas.openxmlformats.org/officeDocument/2006/relationships/image" Target="../media/image35.png"/><Relationship Id="rId2" Type="http://schemas.microsoft.com/office/2007/relationships/hdphoto" Target="../media/hdphoto1.wdp"/><Relationship Id="rId16" Type="http://schemas.openxmlformats.org/officeDocument/2006/relationships/image" Target="../media/image34.png"/><Relationship Id="rId20" Type="http://schemas.openxmlformats.org/officeDocument/2006/relationships/image" Target="../media/image38.png"/><Relationship Id="rId1" Type="http://schemas.openxmlformats.org/officeDocument/2006/relationships/image" Target="../media/image21.png"/><Relationship Id="rId6" Type="http://schemas.openxmlformats.org/officeDocument/2006/relationships/image" Target="../media/image24.jpeg"/><Relationship Id="rId11" Type="http://schemas.openxmlformats.org/officeDocument/2006/relationships/image" Target="../media/image29.png"/><Relationship Id="rId24" Type="http://schemas.openxmlformats.org/officeDocument/2006/relationships/image" Target="../media/image42.png"/><Relationship Id="rId5" Type="http://schemas.openxmlformats.org/officeDocument/2006/relationships/image" Target="../media/image23.png"/><Relationship Id="rId15" Type="http://schemas.openxmlformats.org/officeDocument/2006/relationships/image" Target="../media/image33.png"/><Relationship Id="rId23" Type="http://schemas.openxmlformats.org/officeDocument/2006/relationships/image" Target="../media/image41.png"/><Relationship Id="rId10" Type="http://schemas.openxmlformats.org/officeDocument/2006/relationships/image" Target="../media/image28.png"/><Relationship Id="rId19" Type="http://schemas.openxmlformats.org/officeDocument/2006/relationships/image" Target="../media/image37.png"/><Relationship Id="rId4" Type="http://schemas.microsoft.com/office/2007/relationships/hdphoto" Target="../media/hdphoto2.wdp"/><Relationship Id="rId9" Type="http://schemas.openxmlformats.org/officeDocument/2006/relationships/image" Target="../media/image27.jpeg"/><Relationship Id="rId14" Type="http://schemas.openxmlformats.org/officeDocument/2006/relationships/image" Target="../media/image32.png"/><Relationship Id="rId22" Type="http://schemas.openxmlformats.org/officeDocument/2006/relationships/image" Target="../media/image40.png"/></Relationships>
</file>

<file path=xl/drawings/_rels/drawing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jpeg"/><Relationship Id="rId1" Type="http://schemas.openxmlformats.org/officeDocument/2006/relationships/chart" Target="../charts/chart1.xml"/><Relationship Id="rId5" Type="http://schemas.openxmlformats.org/officeDocument/2006/relationships/image" Target="../media/image4.emf"/><Relationship Id="rId4" Type="http://schemas.openxmlformats.org/officeDocument/2006/relationships/image" Target="../media/image3.emf"/></Relationships>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jpeg"/><Relationship Id="rId4" Type="http://schemas.openxmlformats.org/officeDocument/2006/relationships/image" Target="../media/image4.emf"/></Relationships>
</file>

<file path=xl/drawings/_rels/drawing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4.emf"/><Relationship Id="rId1" Type="http://schemas.openxmlformats.org/officeDocument/2006/relationships/image" Target="../media/image1.jpeg"/><Relationship Id="rId4" Type="http://schemas.openxmlformats.org/officeDocument/2006/relationships/image" Target="../media/image3.emf"/></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image" Target="../media/image8.png"/><Relationship Id="rId5" Type="http://schemas.openxmlformats.org/officeDocument/2006/relationships/chart" Target="../charts/chart6.xml"/><Relationship Id="rId4"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image" Target="../media/image10.emf"/><Relationship Id="rId2" Type="http://schemas.openxmlformats.org/officeDocument/2006/relationships/image" Target="../media/image1.jpeg"/><Relationship Id="rId1" Type="http://schemas.openxmlformats.org/officeDocument/2006/relationships/image" Target="../media/image9.png"/><Relationship Id="rId5" Type="http://schemas.openxmlformats.org/officeDocument/2006/relationships/image" Target="../media/image12.emf"/><Relationship Id="rId4" Type="http://schemas.openxmlformats.org/officeDocument/2006/relationships/image" Target="../media/image11.emf"/></Relationships>
</file>

<file path=xl/drawings/_rels/drawing7.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jpeg"/><Relationship Id="rId4" Type="http://schemas.openxmlformats.org/officeDocument/2006/relationships/image" Target="../media/image4.emf"/></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jpeg"/><Relationship Id="rId1" Type="http://schemas.openxmlformats.org/officeDocument/2006/relationships/chart" Target="../charts/chart7.xml"/><Relationship Id="rId5" Type="http://schemas.openxmlformats.org/officeDocument/2006/relationships/image" Target="../media/image4.emf"/><Relationship Id="rId4" Type="http://schemas.openxmlformats.org/officeDocument/2006/relationships/image" Target="../media/image3.emf"/></Relationships>
</file>

<file path=xl/drawings/_rels/drawing9.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image" Target="../media/image1.jpeg"/><Relationship Id="rId7"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image" Target="../media/image18.png"/><Relationship Id="rId5" Type="http://schemas.openxmlformats.org/officeDocument/2006/relationships/image" Target="../media/image17.png"/><Relationship Id="rId10" Type="http://schemas.openxmlformats.org/officeDocument/2006/relationships/image" Target="../media/image4.emf"/><Relationship Id="rId4" Type="http://schemas.openxmlformats.org/officeDocument/2006/relationships/image" Target="../media/image16.jpeg"/><Relationship Id="rId9" Type="http://schemas.openxmlformats.org/officeDocument/2006/relationships/image" Target="../media/image3.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s>
</file>

<file path=xl/drawings/_rels/vmlDrawing4.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7.emf"/></Relationships>
</file>

<file path=xl/drawings/_rels/vmlDrawing5.vml.rels><?xml version="1.0" encoding="UTF-8" standalone="yes"?>
<Relationships xmlns="http://schemas.openxmlformats.org/package/2006/relationships"><Relationship Id="rId3" Type="http://schemas.openxmlformats.org/officeDocument/2006/relationships/image" Target="../media/image15.emf"/><Relationship Id="rId2" Type="http://schemas.openxmlformats.org/officeDocument/2006/relationships/image" Target="../media/image14.emf"/><Relationship Id="rId1" Type="http://schemas.openxmlformats.org/officeDocument/2006/relationships/image" Target="../media/image13.emf"/></Relationships>
</file>

<file path=xl/drawings/_rels/vmlDrawing6.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s>
</file>

<file path=xl/drawings/_rels/vmlDrawing7.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s>
</file>

<file path=xl/drawings/_rels/vmlDrawing8.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s>
</file>

<file path=xl/drawings/_rels/vmlDrawing9.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20.emf"/></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4</xdr:col>
      <xdr:colOff>133350</xdr:colOff>
      <xdr:row>4</xdr:row>
      <xdr:rowOff>104776</xdr:rowOff>
    </xdr:to>
    <xdr:pic>
      <xdr:nvPicPr>
        <xdr:cNvPr id="2" name="Imagen 2">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rcRect l="4348" r="4348"/>
        <a:stretch>
          <a:fillRect/>
        </a:stretch>
      </xdr:blipFill>
      <xdr:spPr bwMode="auto">
        <a:xfrm>
          <a:off x="47625" y="38100"/>
          <a:ext cx="1304925" cy="962026"/>
        </a:xfrm>
        <a:prstGeom prst="rect">
          <a:avLst/>
        </a:prstGeom>
        <a:noFill/>
        <a:ln w="9525">
          <a:noFill/>
          <a:miter lim="800000"/>
          <a:headEnd/>
          <a:tailEnd/>
        </a:ln>
      </xdr:spPr>
    </xdr:pic>
    <xdr:clientData/>
  </xdr:twoCellAnchor>
  <xdr:twoCellAnchor>
    <xdr:from>
      <xdr:col>30</xdr:col>
      <xdr:colOff>57150</xdr:colOff>
      <xdr:row>7</xdr:row>
      <xdr:rowOff>0</xdr:rowOff>
    </xdr:from>
    <xdr:to>
      <xdr:col>39</xdr:col>
      <xdr:colOff>112102</xdr:colOff>
      <xdr:row>7</xdr:row>
      <xdr:rowOff>10989</xdr:rowOff>
    </xdr:to>
    <xdr:cxnSp macro="">
      <xdr:nvCxnSpPr>
        <xdr:cNvPr id="11" name="Conector recto 10">
          <a:extLst>
            <a:ext uri="{FF2B5EF4-FFF2-40B4-BE49-F238E27FC236}">
              <a16:creationId xmlns:a16="http://schemas.microsoft.com/office/drawing/2014/main" id="{00000000-0008-0000-0200-00000B000000}"/>
            </a:ext>
          </a:extLst>
        </xdr:cNvPr>
        <xdr:cNvCxnSpPr/>
      </xdr:nvCxnSpPr>
      <xdr:spPr>
        <a:xfrm flipV="1">
          <a:off x="7219950" y="1400175"/>
          <a:ext cx="1683727" cy="1098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114300</xdr:colOff>
      <xdr:row>37</xdr:row>
      <xdr:rowOff>0</xdr:rowOff>
    </xdr:from>
    <xdr:to>
      <xdr:col>9</xdr:col>
      <xdr:colOff>216877</xdr:colOff>
      <xdr:row>37</xdr:row>
      <xdr:rowOff>0</xdr:rowOff>
    </xdr:to>
    <xdr:cxnSp macro="">
      <xdr:nvCxnSpPr>
        <xdr:cNvPr id="12" name="Conector recto 11">
          <a:extLst>
            <a:ext uri="{FF2B5EF4-FFF2-40B4-BE49-F238E27FC236}">
              <a16:creationId xmlns:a16="http://schemas.microsoft.com/office/drawing/2014/main" id="{00000000-0008-0000-0200-00000C000000}"/>
            </a:ext>
          </a:extLst>
        </xdr:cNvPr>
        <xdr:cNvCxnSpPr/>
      </xdr:nvCxnSpPr>
      <xdr:spPr>
        <a:xfrm>
          <a:off x="1524000" y="8829675"/>
          <a:ext cx="1407502"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104775</xdr:colOff>
      <xdr:row>37</xdr:row>
      <xdr:rowOff>0</xdr:rowOff>
    </xdr:from>
    <xdr:to>
      <xdr:col>18</xdr:col>
      <xdr:colOff>54952</xdr:colOff>
      <xdr:row>37</xdr:row>
      <xdr:rowOff>0</xdr:rowOff>
    </xdr:to>
    <xdr:cxnSp macro="">
      <xdr:nvCxnSpPr>
        <xdr:cNvPr id="13" name="Conector recto 12">
          <a:extLst>
            <a:ext uri="{FF2B5EF4-FFF2-40B4-BE49-F238E27FC236}">
              <a16:creationId xmlns:a16="http://schemas.microsoft.com/office/drawing/2014/main" id="{00000000-0008-0000-0200-00000D000000}"/>
            </a:ext>
          </a:extLst>
        </xdr:cNvPr>
        <xdr:cNvCxnSpPr/>
      </xdr:nvCxnSpPr>
      <xdr:spPr>
        <a:xfrm>
          <a:off x="3190875" y="8829675"/>
          <a:ext cx="1407502"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123825</xdr:colOff>
      <xdr:row>37</xdr:row>
      <xdr:rowOff>0</xdr:rowOff>
    </xdr:from>
    <xdr:to>
      <xdr:col>24</xdr:col>
      <xdr:colOff>159727</xdr:colOff>
      <xdr:row>37</xdr:row>
      <xdr:rowOff>0</xdr:rowOff>
    </xdr:to>
    <xdr:cxnSp macro="">
      <xdr:nvCxnSpPr>
        <xdr:cNvPr id="14" name="Conector recto 13">
          <a:extLst>
            <a:ext uri="{FF2B5EF4-FFF2-40B4-BE49-F238E27FC236}">
              <a16:creationId xmlns:a16="http://schemas.microsoft.com/office/drawing/2014/main" id="{00000000-0008-0000-0200-00000E000000}"/>
            </a:ext>
          </a:extLst>
        </xdr:cNvPr>
        <xdr:cNvCxnSpPr/>
      </xdr:nvCxnSpPr>
      <xdr:spPr>
        <a:xfrm>
          <a:off x="4867275" y="8829675"/>
          <a:ext cx="1407502"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11</xdr:col>
          <xdr:colOff>19050</xdr:colOff>
          <xdr:row>35</xdr:row>
          <xdr:rowOff>161925</xdr:rowOff>
        </xdr:from>
        <xdr:to>
          <xdr:col>19</xdr:col>
          <xdr:colOff>9525</xdr:colOff>
          <xdr:row>36</xdr:row>
          <xdr:rowOff>466725</xdr:rowOff>
        </xdr:to>
        <xdr:pic>
          <xdr:nvPicPr>
            <xdr:cNvPr id="15362" name="Picture 2">
              <a:extLst>
                <a:ext uri="{FF2B5EF4-FFF2-40B4-BE49-F238E27FC236}">
                  <a16:creationId xmlns:a16="http://schemas.microsoft.com/office/drawing/2014/main" id="{00000000-0008-0000-0200-0000023C0000}"/>
                </a:ext>
              </a:extLst>
            </xdr:cNvPr>
            <xdr:cNvPicPr>
              <a:picLocks noChangeAspect="1"/>
              <a:extLst>
                <a:ext uri="{84589F7E-364E-4C9E-8A38-B11213B215E9}">
                  <a14:cameraTool cellRange="revisofirmas3" spid="_x0000_s205238"/>
                </a:ext>
              </a:extLst>
            </xdr:cNvPicPr>
          </xdr:nvPicPr>
          <xdr:blipFill>
            <a:blip xmlns:r="http://schemas.openxmlformats.org/officeDocument/2006/relationships" r:embed="rId2"/>
            <a:srcRect/>
            <a:stretch>
              <a:fillRect/>
            </a:stretch>
          </xdr:blipFill>
          <xdr:spPr bwMode="auto">
            <a:xfrm>
              <a:off x="3105150" y="8105775"/>
              <a:ext cx="1647825" cy="4762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35</xdr:row>
          <xdr:rowOff>152400</xdr:rowOff>
        </xdr:from>
        <xdr:to>
          <xdr:col>26</xdr:col>
          <xdr:colOff>0</xdr:colOff>
          <xdr:row>36</xdr:row>
          <xdr:rowOff>495300</xdr:rowOff>
        </xdr:to>
        <xdr:pic>
          <xdr:nvPicPr>
            <xdr:cNvPr id="15363" name="Picture 3">
              <a:extLst>
                <a:ext uri="{FF2B5EF4-FFF2-40B4-BE49-F238E27FC236}">
                  <a16:creationId xmlns:a16="http://schemas.microsoft.com/office/drawing/2014/main" id="{00000000-0008-0000-0200-0000033C0000}"/>
                </a:ext>
              </a:extLst>
            </xdr:cNvPr>
            <xdr:cNvPicPr>
              <a:picLocks noChangeAspect="1"/>
              <a:extLst>
                <a:ext uri="{84589F7E-364E-4C9E-8A38-B11213B215E9}">
                  <a14:cameraTool cellRange="aprobofirmas3" spid="_x0000_s205239"/>
                </a:ext>
              </a:extLst>
            </xdr:cNvPicPr>
          </xdr:nvPicPr>
          <xdr:blipFill>
            <a:blip xmlns:r="http://schemas.openxmlformats.org/officeDocument/2006/relationships" r:embed="rId3"/>
            <a:srcRect/>
            <a:stretch>
              <a:fillRect/>
            </a:stretch>
          </xdr:blipFill>
          <xdr:spPr bwMode="auto">
            <a:xfrm>
              <a:off x="4752975" y="8096250"/>
              <a:ext cx="1685925" cy="5143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36</xdr:row>
          <xdr:rowOff>0</xdr:rowOff>
        </xdr:from>
        <xdr:to>
          <xdr:col>10</xdr:col>
          <xdr:colOff>95250</xdr:colOff>
          <xdr:row>36</xdr:row>
          <xdr:rowOff>476250</xdr:rowOff>
        </xdr:to>
        <xdr:pic>
          <xdr:nvPicPr>
            <xdr:cNvPr id="15367" name="Picture 7">
              <a:extLst>
                <a:ext uri="{FF2B5EF4-FFF2-40B4-BE49-F238E27FC236}">
                  <a16:creationId xmlns:a16="http://schemas.microsoft.com/office/drawing/2014/main" id="{00000000-0008-0000-0200-0000073C0000}"/>
                </a:ext>
              </a:extLst>
            </xdr:cNvPr>
            <xdr:cNvPicPr>
              <a:picLocks noChangeAspect="1"/>
              <a:extLst>
                <a:ext uri="{84589F7E-364E-4C9E-8A38-B11213B215E9}">
                  <a14:cameraTool cellRange="elaborofirmas3" spid="_x0000_s205240"/>
                </a:ext>
              </a:extLst>
            </xdr:cNvPicPr>
          </xdr:nvPicPr>
          <xdr:blipFill>
            <a:blip xmlns:r="http://schemas.openxmlformats.org/officeDocument/2006/relationships" r:embed="rId4"/>
            <a:srcRect/>
            <a:stretch>
              <a:fillRect/>
            </a:stretch>
          </xdr:blipFill>
          <xdr:spPr bwMode="auto">
            <a:xfrm>
              <a:off x="1419225" y="8115300"/>
              <a:ext cx="1666875" cy="4762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0.xml><?xml version="1.0" encoding="utf-8"?>
<c:userShapes xmlns:c="http://schemas.openxmlformats.org/drawingml/2006/chart">
  <cdr:relSizeAnchor xmlns:cdr="http://schemas.openxmlformats.org/drawingml/2006/chartDrawing">
    <cdr:from>
      <cdr:x>0.49879</cdr:x>
      <cdr:y>0.54356</cdr:y>
    </cdr:from>
    <cdr:to>
      <cdr:x>0.57375</cdr:x>
      <cdr:y>0.66558</cdr:y>
    </cdr:to>
    <cdr:sp macro="" textlink="">
      <cdr:nvSpPr>
        <cdr:cNvPr id="128001" name="Text Box 1"/>
        <cdr:cNvSpPr txBox="1">
          <a:spLocks xmlns:a="http://schemas.openxmlformats.org/drawingml/2006/main" noChangeArrowheads="1"/>
        </cdr:cNvSpPr>
      </cdr:nvSpPr>
      <cdr:spPr bwMode="auto">
        <a:xfrm xmlns:a="http://schemas.openxmlformats.org/drawingml/2006/main">
          <a:off x="1815568" y="1627557"/>
          <a:ext cx="271367" cy="36749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txBody>
        <a:bodyPr xmlns:a="http://schemas.openxmlformats.org/drawingml/2006/main" vertOverflow="clip" wrap="square" lIns="18288" tIns="0" rIns="0" bIns="0" anchor="ctr" upright="1"/>
        <a:lstStyle xmlns:a="http://schemas.openxmlformats.org/drawingml/2006/main"/>
        <a:p xmlns:a="http://schemas.openxmlformats.org/drawingml/2006/main">
          <a:endParaRPr lang="es-CO"/>
        </a:p>
      </cdr:txBody>
    </cdr:sp>
  </cdr:relSizeAnchor>
</c:userShapes>
</file>

<file path=xl/drawings/drawing11.xml><?xml version="1.0" encoding="utf-8"?>
<xdr:wsDr xmlns:xdr="http://schemas.openxmlformats.org/drawingml/2006/spreadsheetDrawing" xmlns:a="http://schemas.openxmlformats.org/drawingml/2006/main">
  <xdr:twoCellAnchor>
    <xdr:from>
      <xdr:col>0</xdr:col>
      <xdr:colOff>76199</xdr:colOff>
      <xdr:row>29</xdr:row>
      <xdr:rowOff>85726</xdr:rowOff>
    </xdr:from>
    <xdr:to>
      <xdr:col>3</xdr:col>
      <xdr:colOff>742950</xdr:colOff>
      <xdr:row>48</xdr:row>
      <xdr:rowOff>104775</xdr:rowOff>
    </xdr:to>
    <xdr:graphicFrame macro="">
      <xdr:nvGraphicFramePr>
        <xdr:cNvPr id="3" name="Gráfico 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0</xdr:col>
      <xdr:colOff>0</xdr:colOff>
      <xdr:row>9</xdr:row>
      <xdr:rowOff>0</xdr:rowOff>
    </xdr:from>
    <xdr:to>
      <xdr:col>0</xdr:col>
      <xdr:colOff>0</xdr:colOff>
      <xdr:row>9</xdr:row>
      <xdr:rowOff>161925</xdr:rowOff>
    </xdr:to>
    <xdr:sp macro="" textlink="">
      <xdr:nvSpPr>
        <xdr:cNvPr id="5" name="Rectangle 4">
          <a:extLst>
            <a:ext uri="{FF2B5EF4-FFF2-40B4-BE49-F238E27FC236}">
              <a16:creationId xmlns:a16="http://schemas.microsoft.com/office/drawing/2014/main" id="{00000000-0008-0000-0D00-000005000000}"/>
            </a:ext>
          </a:extLst>
        </xdr:cNvPr>
        <xdr:cNvSpPr>
          <a:spLocks noChangeArrowheads="1"/>
        </xdr:cNvSpPr>
      </xdr:nvSpPr>
      <xdr:spPr bwMode="auto">
        <a:xfrm>
          <a:off x="9486900" y="1638300"/>
          <a:ext cx="0" cy="161925"/>
        </a:xfrm>
        <a:prstGeom prst="rect">
          <a:avLst/>
        </a:prstGeom>
        <a:noFill/>
        <a:ln w="9525">
          <a:noFill/>
          <a:miter lim="800000"/>
          <a:headEnd/>
          <a:tailEnd/>
        </a:ln>
      </xdr:spPr>
    </xdr:sp>
    <xdr:clientData/>
  </xdr:twoCellAnchor>
  <xdr:twoCellAnchor editAs="oneCell">
    <xdr:from>
      <xdr:col>0</xdr:col>
      <xdr:colOff>0</xdr:colOff>
      <xdr:row>9</xdr:row>
      <xdr:rowOff>0</xdr:rowOff>
    </xdr:from>
    <xdr:to>
      <xdr:col>0</xdr:col>
      <xdr:colOff>0</xdr:colOff>
      <xdr:row>9</xdr:row>
      <xdr:rowOff>161925</xdr:rowOff>
    </xdr:to>
    <xdr:sp macro="" textlink="">
      <xdr:nvSpPr>
        <xdr:cNvPr id="6" name="Rectangle 5">
          <a:extLst>
            <a:ext uri="{FF2B5EF4-FFF2-40B4-BE49-F238E27FC236}">
              <a16:creationId xmlns:a16="http://schemas.microsoft.com/office/drawing/2014/main" id="{00000000-0008-0000-0D00-000006000000}"/>
            </a:ext>
          </a:extLst>
        </xdr:cNvPr>
        <xdr:cNvSpPr>
          <a:spLocks noChangeArrowheads="1"/>
        </xdr:cNvSpPr>
      </xdr:nvSpPr>
      <xdr:spPr bwMode="auto">
        <a:xfrm>
          <a:off x="9486900" y="1638300"/>
          <a:ext cx="0" cy="161925"/>
        </a:xfrm>
        <a:prstGeom prst="rect">
          <a:avLst/>
        </a:prstGeom>
        <a:noFill/>
        <a:ln w="9525">
          <a:noFill/>
          <a:miter lim="800000"/>
          <a:headEnd/>
          <a:tailEnd/>
        </a:ln>
      </xdr:spPr>
    </xdr:sp>
    <xdr:clientData/>
  </xdr:twoCellAnchor>
  <xdr:twoCellAnchor editAs="oneCell">
    <xdr:from>
      <xdr:col>0</xdr:col>
      <xdr:colOff>0</xdr:colOff>
      <xdr:row>9</xdr:row>
      <xdr:rowOff>0</xdr:rowOff>
    </xdr:from>
    <xdr:to>
      <xdr:col>0</xdr:col>
      <xdr:colOff>0</xdr:colOff>
      <xdr:row>9</xdr:row>
      <xdr:rowOff>161925</xdr:rowOff>
    </xdr:to>
    <xdr:sp macro="" textlink="">
      <xdr:nvSpPr>
        <xdr:cNvPr id="7" name="Rectangle 6">
          <a:extLst>
            <a:ext uri="{FF2B5EF4-FFF2-40B4-BE49-F238E27FC236}">
              <a16:creationId xmlns:a16="http://schemas.microsoft.com/office/drawing/2014/main" id="{00000000-0008-0000-0D00-000007000000}"/>
            </a:ext>
          </a:extLst>
        </xdr:cNvPr>
        <xdr:cNvSpPr>
          <a:spLocks noChangeArrowheads="1"/>
        </xdr:cNvSpPr>
      </xdr:nvSpPr>
      <xdr:spPr bwMode="auto">
        <a:xfrm>
          <a:off x="9486900" y="1638300"/>
          <a:ext cx="0" cy="161925"/>
        </a:xfrm>
        <a:prstGeom prst="rect">
          <a:avLst/>
        </a:prstGeom>
        <a:noFill/>
        <a:ln w="9525">
          <a:noFill/>
          <a:miter lim="800000"/>
          <a:headEnd/>
          <a:tailEnd/>
        </a:ln>
      </xdr:spPr>
    </xdr:sp>
    <xdr:clientData/>
  </xdr:twoCellAnchor>
  <xdr:twoCellAnchor editAs="oneCell">
    <xdr:from>
      <xdr:col>8</xdr:col>
      <xdr:colOff>285750</xdr:colOff>
      <xdr:row>6</xdr:row>
      <xdr:rowOff>28575</xdr:rowOff>
    </xdr:from>
    <xdr:to>
      <xdr:col>8</xdr:col>
      <xdr:colOff>285750</xdr:colOff>
      <xdr:row>7</xdr:row>
      <xdr:rowOff>85725</xdr:rowOff>
    </xdr:to>
    <xdr:sp macro="" textlink="">
      <xdr:nvSpPr>
        <xdr:cNvPr id="8" name="Rectangle 2">
          <a:extLst>
            <a:ext uri="{FF2B5EF4-FFF2-40B4-BE49-F238E27FC236}">
              <a16:creationId xmlns:a16="http://schemas.microsoft.com/office/drawing/2014/main" id="{00000000-0008-0000-0D00-000008000000}"/>
            </a:ext>
          </a:extLst>
        </xdr:cNvPr>
        <xdr:cNvSpPr>
          <a:spLocks noChangeArrowheads="1"/>
        </xdr:cNvSpPr>
      </xdr:nvSpPr>
      <xdr:spPr bwMode="auto">
        <a:xfrm>
          <a:off x="6724650" y="1038225"/>
          <a:ext cx="0" cy="228600"/>
        </a:xfrm>
        <a:prstGeom prst="rect">
          <a:avLst/>
        </a:prstGeom>
        <a:noFill/>
        <a:ln w="9525">
          <a:noFill/>
          <a:miter lim="800000"/>
          <a:headEnd/>
          <a:tailEnd/>
        </a:ln>
      </xdr:spPr>
    </xdr:sp>
    <xdr:clientData/>
  </xdr:twoCellAnchor>
  <xdr:twoCellAnchor editAs="oneCell">
    <xdr:from>
      <xdr:col>7</xdr:col>
      <xdr:colOff>495300</xdr:colOff>
      <xdr:row>8</xdr:row>
      <xdr:rowOff>36192</xdr:rowOff>
    </xdr:from>
    <xdr:to>
      <xdr:col>8</xdr:col>
      <xdr:colOff>0</xdr:colOff>
      <xdr:row>15</xdr:row>
      <xdr:rowOff>57149</xdr:rowOff>
    </xdr:to>
    <xdr:sp macro="" textlink="">
      <xdr:nvSpPr>
        <xdr:cNvPr id="9" name="Rectangle 3">
          <a:extLst>
            <a:ext uri="{FF2B5EF4-FFF2-40B4-BE49-F238E27FC236}">
              <a16:creationId xmlns:a16="http://schemas.microsoft.com/office/drawing/2014/main" id="{00000000-0008-0000-0D00-000009000000}"/>
            </a:ext>
          </a:extLst>
        </xdr:cNvPr>
        <xdr:cNvSpPr>
          <a:spLocks noChangeArrowheads="1"/>
        </xdr:cNvSpPr>
      </xdr:nvSpPr>
      <xdr:spPr bwMode="auto">
        <a:xfrm>
          <a:off x="6153150" y="1388742"/>
          <a:ext cx="285750" cy="1230632"/>
        </a:xfrm>
        <a:prstGeom prst="rect">
          <a:avLst/>
        </a:prstGeom>
        <a:noFill/>
        <a:ln w="9525">
          <a:noFill/>
          <a:miter lim="800000"/>
          <a:headEnd/>
          <a:tailEnd/>
        </a:ln>
      </xdr:spPr>
    </xdr:sp>
    <xdr:clientData/>
  </xdr:twoCellAnchor>
  <xdr:twoCellAnchor editAs="oneCell">
    <xdr:from>
      <xdr:col>1</xdr:col>
      <xdr:colOff>104775</xdr:colOff>
      <xdr:row>9</xdr:row>
      <xdr:rowOff>0</xdr:rowOff>
    </xdr:from>
    <xdr:to>
      <xdr:col>1</xdr:col>
      <xdr:colOff>104775</xdr:colOff>
      <xdr:row>9</xdr:row>
      <xdr:rowOff>161925</xdr:rowOff>
    </xdr:to>
    <xdr:sp macro="" textlink="">
      <xdr:nvSpPr>
        <xdr:cNvPr id="10" name="Rectangle 6">
          <a:extLst>
            <a:ext uri="{FF2B5EF4-FFF2-40B4-BE49-F238E27FC236}">
              <a16:creationId xmlns:a16="http://schemas.microsoft.com/office/drawing/2014/main" id="{00000000-0008-0000-0D00-00000A000000}"/>
            </a:ext>
          </a:extLst>
        </xdr:cNvPr>
        <xdr:cNvSpPr>
          <a:spLocks noChangeArrowheads="1"/>
        </xdr:cNvSpPr>
      </xdr:nvSpPr>
      <xdr:spPr bwMode="auto">
        <a:xfrm>
          <a:off x="15516225" y="1638300"/>
          <a:ext cx="0" cy="161925"/>
        </a:xfrm>
        <a:prstGeom prst="rect">
          <a:avLst/>
        </a:prstGeom>
        <a:noFill/>
        <a:ln w="9525">
          <a:noFill/>
          <a:miter lim="800000"/>
          <a:headEnd/>
          <a:tailEnd/>
        </a:ln>
      </xdr:spPr>
    </xdr:sp>
    <xdr:clientData/>
  </xdr:twoCellAnchor>
  <xdr:twoCellAnchor editAs="oneCell">
    <xdr:from>
      <xdr:col>0</xdr:col>
      <xdr:colOff>219076</xdr:colOff>
      <xdr:row>0</xdr:row>
      <xdr:rowOff>28576</xdr:rowOff>
    </xdr:from>
    <xdr:to>
      <xdr:col>1</xdr:col>
      <xdr:colOff>638176</xdr:colOff>
      <xdr:row>4</xdr:row>
      <xdr:rowOff>142875</xdr:rowOff>
    </xdr:to>
    <xdr:pic>
      <xdr:nvPicPr>
        <xdr:cNvPr id="14" name="Imagen 19">
          <a:extLst>
            <a:ext uri="{FF2B5EF4-FFF2-40B4-BE49-F238E27FC236}">
              <a16:creationId xmlns:a16="http://schemas.microsoft.com/office/drawing/2014/main" id="{00000000-0008-0000-0D00-00000E000000}"/>
            </a:ext>
          </a:extLst>
        </xdr:cNvPr>
        <xdr:cNvPicPr>
          <a:picLocks noChangeAspect="1"/>
        </xdr:cNvPicPr>
      </xdr:nvPicPr>
      <xdr:blipFill>
        <a:blip xmlns:r="http://schemas.openxmlformats.org/officeDocument/2006/relationships" r:embed="rId2" cstate="print"/>
        <a:srcRect/>
        <a:stretch>
          <a:fillRect/>
        </a:stretch>
      </xdr:blipFill>
      <xdr:spPr bwMode="auto">
        <a:xfrm>
          <a:off x="219076" y="28576"/>
          <a:ext cx="1238250" cy="790574"/>
        </a:xfrm>
        <a:prstGeom prst="rect">
          <a:avLst/>
        </a:prstGeom>
        <a:noFill/>
        <a:ln w="9525">
          <a:noFill/>
          <a:miter lim="800000"/>
          <a:headEnd/>
          <a:tailEnd/>
        </a:ln>
      </xdr:spPr>
    </xdr:pic>
    <xdr:clientData/>
  </xdr:twoCellAnchor>
  <xdr:twoCellAnchor>
    <xdr:from>
      <xdr:col>8</xdr:col>
      <xdr:colOff>914400</xdr:colOff>
      <xdr:row>47</xdr:row>
      <xdr:rowOff>123825</xdr:rowOff>
    </xdr:from>
    <xdr:to>
      <xdr:col>10</xdr:col>
      <xdr:colOff>750275</xdr:colOff>
      <xdr:row>47</xdr:row>
      <xdr:rowOff>125289</xdr:rowOff>
    </xdr:to>
    <xdr:cxnSp macro="">
      <xdr:nvCxnSpPr>
        <xdr:cNvPr id="24" name="Conector recto 23">
          <a:extLst>
            <a:ext uri="{FF2B5EF4-FFF2-40B4-BE49-F238E27FC236}">
              <a16:creationId xmlns:a16="http://schemas.microsoft.com/office/drawing/2014/main" id="{00000000-0008-0000-0D00-000018000000}"/>
            </a:ext>
          </a:extLst>
        </xdr:cNvPr>
        <xdr:cNvCxnSpPr/>
      </xdr:nvCxnSpPr>
      <xdr:spPr>
        <a:xfrm flipV="1">
          <a:off x="21983700" y="7867650"/>
          <a:ext cx="1683725" cy="146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104775</xdr:colOff>
      <xdr:row>5</xdr:row>
      <xdr:rowOff>104775</xdr:rowOff>
    </xdr:from>
    <xdr:to>
      <xdr:col>6</xdr:col>
      <xdr:colOff>104775</xdr:colOff>
      <xdr:row>6</xdr:row>
      <xdr:rowOff>161925</xdr:rowOff>
    </xdr:to>
    <xdr:sp macro="" textlink="">
      <xdr:nvSpPr>
        <xdr:cNvPr id="25" name="Rectangle 2">
          <a:extLst>
            <a:ext uri="{FF2B5EF4-FFF2-40B4-BE49-F238E27FC236}">
              <a16:creationId xmlns:a16="http://schemas.microsoft.com/office/drawing/2014/main" id="{00000000-0008-0000-0D00-000019000000}"/>
            </a:ext>
          </a:extLst>
        </xdr:cNvPr>
        <xdr:cNvSpPr>
          <a:spLocks noChangeArrowheads="1"/>
        </xdr:cNvSpPr>
      </xdr:nvSpPr>
      <xdr:spPr bwMode="auto">
        <a:xfrm>
          <a:off x="20059650" y="1228725"/>
          <a:ext cx="0" cy="228600"/>
        </a:xfrm>
        <a:prstGeom prst="rect">
          <a:avLst/>
        </a:prstGeom>
        <a:noFill/>
        <a:ln w="9525">
          <a:noFill/>
          <a:miter lim="800000"/>
          <a:headEnd/>
          <a:tailEnd/>
        </a:ln>
      </xdr:spPr>
    </xdr:sp>
    <xdr:clientData/>
  </xdr:twoCellAnchor>
  <xdr:twoCellAnchor editAs="oneCell">
    <xdr:from>
      <xdr:col>6</xdr:col>
      <xdr:colOff>180975</xdr:colOff>
      <xdr:row>5</xdr:row>
      <xdr:rowOff>104775</xdr:rowOff>
    </xdr:from>
    <xdr:to>
      <xdr:col>6</xdr:col>
      <xdr:colOff>180975</xdr:colOff>
      <xdr:row>6</xdr:row>
      <xdr:rowOff>161925</xdr:rowOff>
    </xdr:to>
    <xdr:sp macro="" textlink="">
      <xdr:nvSpPr>
        <xdr:cNvPr id="26" name="Rectangle 3">
          <a:extLst>
            <a:ext uri="{FF2B5EF4-FFF2-40B4-BE49-F238E27FC236}">
              <a16:creationId xmlns:a16="http://schemas.microsoft.com/office/drawing/2014/main" id="{00000000-0008-0000-0D00-00001A000000}"/>
            </a:ext>
          </a:extLst>
        </xdr:cNvPr>
        <xdr:cNvSpPr>
          <a:spLocks noChangeArrowheads="1"/>
        </xdr:cNvSpPr>
      </xdr:nvSpPr>
      <xdr:spPr bwMode="auto">
        <a:xfrm>
          <a:off x="20135850" y="1228725"/>
          <a:ext cx="0" cy="228600"/>
        </a:xfrm>
        <a:prstGeom prst="rect">
          <a:avLst/>
        </a:prstGeom>
        <a:noFill/>
        <a:ln w="9525">
          <a:noFill/>
          <a:miter lim="800000"/>
          <a:headEnd/>
          <a:tailEnd/>
        </a:ln>
      </xdr:spPr>
    </xdr:sp>
    <xdr:clientData/>
  </xdr:twoCellAnchor>
  <xdr:twoCellAnchor editAs="oneCell">
    <xdr:from>
      <xdr:col>6</xdr:col>
      <xdr:colOff>104775</xdr:colOff>
      <xdr:row>5</xdr:row>
      <xdr:rowOff>104775</xdr:rowOff>
    </xdr:from>
    <xdr:to>
      <xdr:col>6</xdr:col>
      <xdr:colOff>104775</xdr:colOff>
      <xdr:row>6</xdr:row>
      <xdr:rowOff>161925</xdr:rowOff>
    </xdr:to>
    <xdr:sp macro="" textlink="">
      <xdr:nvSpPr>
        <xdr:cNvPr id="27" name="Rectangle 2">
          <a:extLst>
            <a:ext uri="{FF2B5EF4-FFF2-40B4-BE49-F238E27FC236}">
              <a16:creationId xmlns:a16="http://schemas.microsoft.com/office/drawing/2014/main" id="{00000000-0008-0000-0D00-00001B000000}"/>
            </a:ext>
          </a:extLst>
        </xdr:cNvPr>
        <xdr:cNvSpPr>
          <a:spLocks noChangeArrowheads="1"/>
        </xdr:cNvSpPr>
      </xdr:nvSpPr>
      <xdr:spPr bwMode="auto">
        <a:xfrm>
          <a:off x="20059650" y="1228725"/>
          <a:ext cx="0" cy="228600"/>
        </a:xfrm>
        <a:prstGeom prst="rect">
          <a:avLst/>
        </a:prstGeom>
        <a:noFill/>
        <a:ln w="9525">
          <a:noFill/>
          <a:miter lim="800000"/>
          <a:headEnd/>
          <a:tailEnd/>
        </a:ln>
      </xdr:spPr>
    </xdr:sp>
    <xdr:clientData/>
  </xdr:twoCellAnchor>
  <xdr:twoCellAnchor editAs="oneCell">
    <xdr:from>
      <xdr:col>6</xdr:col>
      <xdr:colOff>180975</xdr:colOff>
      <xdr:row>5</xdr:row>
      <xdr:rowOff>104775</xdr:rowOff>
    </xdr:from>
    <xdr:to>
      <xdr:col>6</xdr:col>
      <xdr:colOff>180975</xdr:colOff>
      <xdr:row>6</xdr:row>
      <xdr:rowOff>161925</xdr:rowOff>
    </xdr:to>
    <xdr:sp macro="" textlink="">
      <xdr:nvSpPr>
        <xdr:cNvPr id="28" name="Rectangle 3">
          <a:extLst>
            <a:ext uri="{FF2B5EF4-FFF2-40B4-BE49-F238E27FC236}">
              <a16:creationId xmlns:a16="http://schemas.microsoft.com/office/drawing/2014/main" id="{00000000-0008-0000-0D00-00001C000000}"/>
            </a:ext>
          </a:extLst>
        </xdr:cNvPr>
        <xdr:cNvSpPr>
          <a:spLocks noChangeArrowheads="1"/>
        </xdr:cNvSpPr>
      </xdr:nvSpPr>
      <xdr:spPr bwMode="auto">
        <a:xfrm>
          <a:off x="20135850" y="1228725"/>
          <a:ext cx="0" cy="228600"/>
        </a:xfrm>
        <a:prstGeom prst="rect">
          <a:avLst/>
        </a:prstGeom>
        <a:noFill/>
        <a:ln w="9525">
          <a:noFill/>
          <a:miter lim="800000"/>
          <a:headEnd/>
          <a:tailEnd/>
        </a:ln>
      </xdr:spPr>
    </xdr:sp>
    <xdr:clientData/>
  </xdr:twoCellAnchor>
  <xdr:twoCellAnchor editAs="oneCell">
    <xdr:from>
      <xdr:col>6</xdr:col>
      <xdr:colOff>619125</xdr:colOff>
      <xdr:row>1</xdr:row>
      <xdr:rowOff>85725</xdr:rowOff>
    </xdr:from>
    <xdr:to>
      <xdr:col>6</xdr:col>
      <xdr:colOff>619125</xdr:colOff>
      <xdr:row>2</xdr:row>
      <xdr:rowOff>142875</xdr:rowOff>
    </xdr:to>
    <xdr:sp macro="" textlink="">
      <xdr:nvSpPr>
        <xdr:cNvPr id="31" name="Rectangle 2">
          <a:extLst>
            <a:ext uri="{FF2B5EF4-FFF2-40B4-BE49-F238E27FC236}">
              <a16:creationId xmlns:a16="http://schemas.microsoft.com/office/drawing/2014/main" id="{00000000-0008-0000-0D00-00001F000000}"/>
            </a:ext>
          </a:extLst>
        </xdr:cNvPr>
        <xdr:cNvSpPr>
          <a:spLocks noChangeArrowheads="1"/>
        </xdr:cNvSpPr>
      </xdr:nvSpPr>
      <xdr:spPr bwMode="auto">
        <a:xfrm>
          <a:off x="5495925" y="257175"/>
          <a:ext cx="0" cy="228600"/>
        </a:xfrm>
        <a:prstGeom prst="rect">
          <a:avLst/>
        </a:prstGeom>
        <a:noFill/>
        <a:ln w="9525">
          <a:noFill/>
          <a:miter lim="800000"/>
          <a:headEnd/>
          <a:tailEnd/>
        </a:ln>
      </xdr:spPr>
    </xdr:sp>
    <xdr:clientData/>
  </xdr:twoCellAnchor>
  <xdr:twoCellAnchor>
    <xdr:from>
      <xdr:col>2</xdr:col>
      <xdr:colOff>95250</xdr:colOff>
      <xdr:row>54</xdr:row>
      <xdr:rowOff>28575</xdr:rowOff>
    </xdr:from>
    <xdr:to>
      <xdr:col>3</xdr:col>
      <xdr:colOff>684468</xdr:colOff>
      <xdr:row>54</xdr:row>
      <xdr:rowOff>28575</xdr:rowOff>
    </xdr:to>
    <xdr:cxnSp macro="">
      <xdr:nvCxnSpPr>
        <xdr:cNvPr id="33" name="Conector recto 13">
          <a:extLst>
            <a:ext uri="{FF2B5EF4-FFF2-40B4-BE49-F238E27FC236}">
              <a16:creationId xmlns:a16="http://schemas.microsoft.com/office/drawing/2014/main" id="{00000000-0008-0000-0D00-000021000000}"/>
            </a:ext>
          </a:extLst>
        </xdr:cNvPr>
        <xdr:cNvCxnSpPr/>
      </xdr:nvCxnSpPr>
      <xdr:spPr>
        <a:xfrm>
          <a:off x="1733550" y="8639175"/>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0</xdr:rowOff>
    </xdr:from>
    <xdr:to>
      <xdr:col>5</xdr:col>
      <xdr:colOff>693993</xdr:colOff>
      <xdr:row>54</xdr:row>
      <xdr:rowOff>0</xdr:rowOff>
    </xdr:to>
    <xdr:cxnSp macro="">
      <xdr:nvCxnSpPr>
        <xdr:cNvPr id="34" name="Conector recto 13">
          <a:extLst>
            <a:ext uri="{FF2B5EF4-FFF2-40B4-BE49-F238E27FC236}">
              <a16:creationId xmlns:a16="http://schemas.microsoft.com/office/drawing/2014/main" id="{00000000-0008-0000-0D00-000022000000}"/>
            </a:ext>
          </a:extLst>
        </xdr:cNvPr>
        <xdr:cNvCxnSpPr/>
      </xdr:nvCxnSpPr>
      <xdr:spPr>
        <a:xfrm>
          <a:off x="3381375" y="861060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114300</xdr:colOff>
      <xdr:row>53</xdr:row>
      <xdr:rowOff>466725</xdr:rowOff>
    </xdr:from>
    <xdr:to>
      <xdr:col>7</xdr:col>
      <xdr:colOff>703518</xdr:colOff>
      <xdr:row>53</xdr:row>
      <xdr:rowOff>466725</xdr:rowOff>
    </xdr:to>
    <xdr:cxnSp macro="">
      <xdr:nvCxnSpPr>
        <xdr:cNvPr id="35" name="Conector recto 13">
          <a:extLst>
            <a:ext uri="{FF2B5EF4-FFF2-40B4-BE49-F238E27FC236}">
              <a16:creationId xmlns:a16="http://schemas.microsoft.com/office/drawing/2014/main" id="{00000000-0008-0000-0D00-000023000000}"/>
            </a:ext>
          </a:extLst>
        </xdr:cNvPr>
        <xdr:cNvCxnSpPr/>
      </xdr:nvCxnSpPr>
      <xdr:spPr>
        <a:xfrm>
          <a:off x="4991100" y="8601075"/>
          <a:ext cx="13702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xdr:col>
          <xdr:colOff>0</xdr:colOff>
          <xdr:row>53</xdr:row>
          <xdr:rowOff>47625</xdr:rowOff>
        </xdr:from>
        <xdr:to>
          <xdr:col>5</xdr:col>
          <xdr:colOff>714375</xdr:colOff>
          <xdr:row>53</xdr:row>
          <xdr:rowOff>438150</xdr:rowOff>
        </xdr:to>
        <xdr:pic>
          <xdr:nvPicPr>
            <xdr:cNvPr id="28676" name="Picture 4">
              <a:extLst>
                <a:ext uri="{FF2B5EF4-FFF2-40B4-BE49-F238E27FC236}">
                  <a16:creationId xmlns:a16="http://schemas.microsoft.com/office/drawing/2014/main" id="{00000000-0008-0000-0D00-000004700000}"/>
                </a:ext>
              </a:extLst>
            </xdr:cNvPr>
            <xdr:cNvPicPr>
              <a:picLocks noChangeAspect="1"/>
              <a:extLst>
                <a:ext uri="{84589F7E-364E-4C9E-8A38-B11213B215E9}">
                  <a14:cameraTool cellRange="revisofirmas14" spid="_x0000_s202167"/>
                </a:ext>
              </a:extLst>
            </xdr:cNvPicPr>
          </xdr:nvPicPr>
          <xdr:blipFill>
            <a:blip xmlns:r="http://schemas.openxmlformats.org/officeDocument/2006/relationships" r:embed="rId3"/>
            <a:srcRect/>
            <a:stretch>
              <a:fillRect/>
            </a:stretch>
          </xdr:blipFill>
          <xdr:spPr bwMode="auto">
            <a:xfrm>
              <a:off x="3276600" y="8181975"/>
              <a:ext cx="1533525" cy="3905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53</xdr:row>
          <xdr:rowOff>19050</xdr:rowOff>
        </xdr:from>
        <xdr:to>
          <xdr:col>8</xdr:col>
          <xdr:colOff>28575</xdr:colOff>
          <xdr:row>53</xdr:row>
          <xdr:rowOff>409575</xdr:rowOff>
        </xdr:to>
        <xdr:pic>
          <xdr:nvPicPr>
            <xdr:cNvPr id="28677" name="Picture 5">
              <a:extLst>
                <a:ext uri="{FF2B5EF4-FFF2-40B4-BE49-F238E27FC236}">
                  <a16:creationId xmlns:a16="http://schemas.microsoft.com/office/drawing/2014/main" id="{00000000-0008-0000-0D00-000005700000}"/>
                </a:ext>
              </a:extLst>
            </xdr:cNvPr>
            <xdr:cNvPicPr>
              <a:picLocks noChangeAspect="1"/>
              <a:extLst>
                <a:ext uri="{84589F7E-364E-4C9E-8A38-B11213B215E9}">
                  <a14:cameraTool cellRange="aprobofirmas14" spid="_x0000_s202168"/>
                </a:ext>
              </a:extLst>
            </xdr:cNvPicPr>
          </xdr:nvPicPr>
          <xdr:blipFill>
            <a:blip xmlns:r="http://schemas.openxmlformats.org/officeDocument/2006/relationships" r:embed="rId4"/>
            <a:srcRect/>
            <a:stretch>
              <a:fillRect/>
            </a:stretch>
          </xdr:blipFill>
          <xdr:spPr bwMode="auto">
            <a:xfrm>
              <a:off x="4876800" y="8153400"/>
              <a:ext cx="1590675" cy="3905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53</xdr:row>
          <xdr:rowOff>57150</xdr:rowOff>
        </xdr:from>
        <xdr:to>
          <xdr:col>3</xdr:col>
          <xdr:colOff>800100</xdr:colOff>
          <xdr:row>53</xdr:row>
          <xdr:rowOff>447675</xdr:rowOff>
        </xdr:to>
        <xdr:pic>
          <xdr:nvPicPr>
            <xdr:cNvPr id="28678" name="Picture 6">
              <a:extLst>
                <a:ext uri="{FF2B5EF4-FFF2-40B4-BE49-F238E27FC236}">
                  <a16:creationId xmlns:a16="http://schemas.microsoft.com/office/drawing/2014/main" id="{00000000-0008-0000-0D00-000006700000}"/>
                </a:ext>
              </a:extLst>
            </xdr:cNvPr>
            <xdr:cNvPicPr>
              <a:picLocks noChangeAspect="1"/>
              <a:extLst>
                <a:ext uri="{84589F7E-364E-4C9E-8A38-B11213B215E9}">
                  <a14:cameraTool cellRange="elaborofirmas14" spid="_x0000_s202169"/>
                </a:ext>
              </a:extLst>
            </xdr:cNvPicPr>
          </xdr:nvPicPr>
          <xdr:blipFill>
            <a:blip xmlns:r="http://schemas.openxmlformats.org/officeDocument/2006/relationships" r:embed="rId5"/>
            <a:srcRect/>
            <a:stretch>
              <a:fillRect/>
            </a:stretch>
          </xdr:blipFill>
          <xdr:spPr bwMode="auto">
            <a:xfrm>
              <a:off x="1647825" y="8191500"/>
              <a:ext cx="1609725" cy="3905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2.xml><?xml version="1.0" encoding="utf-8"?>
<c:userShapes xmlns:c="http://schemas.openxmlformats.org/drawingml/2006/chart">
  <cdr:relSizeAnchor xmlns:cdr="http://schemas.openxmlformats.org/drawingml/2006/chartDrawing">
    <cdr:from>
      <cdr:x>0.49879</cdr:x>
      <cdr:y>0.54356</cdr:y>
    </cdr:from>
    <cdr:to>
      <cdr:x>0.57375</cdr:x>
      <cdr:y>0.66558</cdr:y>
    </cdr:to>
    <cdr:sp macro="" textlink="">
      <cdr:nvSpPr>
        <cdr:cNvPr id="128001" name="Text Box 1"/>
        <cdr:cNvSpPr txBox="1">
          <a:spLocks xmlns:a="http://schemas.openxmlformats.org/drawingml/2006/main" noChangeArrowheads="1"/>
        </cdr:cNvSpPr>
      </cdr:nvSpPr>
      <cdr:spPr bwMode="auto">
        <a:xfrm xmlns:a="http://schemas.openxmlformats.org/drawingml/2006/main">
          <a:off x="1815568" y="1627557"/>
          <a:ext cx="271367" cy="367498"/>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txBody>
        <a:bodyPr xmlns:a="http://schemas.openxmlformats.org/drawingml/2006/main" vertOverflow="clip" wrap="square" lIns="18288" tIns="0" rIns="0" bIns="0" anchor="ctr" upright="1"/>
        <a:lstStyle xmlns:a="http://schemas.openxmlformats.org/drawingml/2006/main"/>
        <a:p xmlns:a="http://schemas.openxmlformats.org/drawingml/2006/main">
          <a:endParaRPr lang="es-CO"/>
        </a:p>
      </cdr:txBody>
    </cdr:sp>
  </cdr:relSizeAnchor>
</c:userShapes>
</file>

<file path=xl/drawings/drawing13.xml><?xml version="1.0" encoding="utf-8"?>
<xdr:wsDr xmlns:xdr="http://schemas.openxmlformats.org/drawingml/2006/spreadsheetDrawing" xmlns:a="http://schemas.openxmlformats.org/drawingml/2006/main">
  <xdr:twoCellAnchor editAs="oneCell">
    <xdr:from>
      <xdr:col>2</xdr:col>
      <xdr:colOff>285750</xdr:colOff>
      <xdr:row>2</xdr:row>
      <xdr:rowOff>28574</xdr:rowOff>
    </xdr:from>
    <xdr:to>
      <xdr:col>2</xdr:col>
      <xdr:colOff>1314449</xdr:colOff>
      <xdr:row>3</xdr:row>
      <xdr:rowOff>28575</xdr:rowOff>
    </xdr:to>
    <xdr:pic>
      <xdr:nvPicPr>
        <xdr:cNvPr id="2" name="Imagen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BEBA8EAE-BF5A-486C-A8C5-ECC9F3942E4B}">
              <a14:imgProps xmlns:a14="http://schemas.microsoft.com/office/drawing/2010/main">
                <a14:imgLayer r:embed="rId2">
                  <a14:imgEffect>
                    <a14:saturation sat="0"/>
                  </a14:imgEffect>
                </a14:imgLayer>
              </a14:imgProps>
            </a:ext>
            <a:ext uri="{28A0092B-C50C-407E-A947-70E740481C1C}">
              <a14:useLocalDpi xmlns:a14="http://schemas.microsoft.com/office/drawing/2010/main" val="0"/>
            </a:ext>
          </a:extLst>
        </a:blip>
        <a:stretch>
          <a:fillRect/>
        </a:stretch>
      </xdr:blipFill>
      <xdr:spPr>
        <a:xfrm>
          <a:off x="3181350" y="857249"/>
          <a:ext cx="1028699" cy="504826"/>
        </a:xfrm>
        <a:prstGeom prst="rect">
          <a:avLst/>
        </a:prstGeom>
        <a:ln>
          <a:noFill/>
        </a:ln>
      </xdr:spPr>
    </xdr:pic>
    <xdr:clientData/>
  </xdr:twoCellAnchor>
  <xdr:twoCellAnchor editAs="oneCell">
    <xdr:from>
      <xdr:col>2</xdr:col>
      <xdr:colOff>76200</xdr:colOff>
      <xdr:row>1</xdr:row>
      <xdr:rowOff>19050</xdr:rowOff>
    </xdr:from>
    <xdr:to>
      <xdr:col>2</xdr:col>
      <xdr:colOff>1438275</xdr:colOff>
      <xdr:row>2</xdr:row>
      <xdr:rowOff>25845</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rotWithShape="1">
        <a:blip xmlns:r="http://schemas.openxmlformats.org/officeDocument/2006/relationships" r:embed="rId3" cstate="print">
          <a:clrChange>
            <a:clrFrom>
              <a:srgbClr val="FFFFFF"/>
            </a:clrFrom>
            <a:clrTo>
              <a:srgbClr val="FFFFFF">
                <a:alpha val="0"/>
              </a:srgbClr>
            </a:clrTo>
          </a:clrChange>
          <a:extLst>
            <a:ext uri="{BEBA8EAE-BF5A-486C-A8C5-ECC9F3942E4B}">
              <a14:imgProps xmlns:a14="http://schemas.microsoft.com/office/drawing/2010/main">
                <a14:imgLayer r:embed="rId4">
                  <a14:imgEffect>
                    <a14:saturation sat="0"/>
                  </a14:imgEffect>
                </a14:imgLayer>
              </a14:imgProps>
            </a:ext>
            <a:ext uri="{28A0092B-C50C-407E-A947-70E740481C1C}">
              <a14:useLocalDpi xmlns:a14="http://schemas.microsoft.com/office/drawing/2010/main" val="0"/>
            </a:ext>
          </a:extLst>
        </a:blip>
        <a:srcRect/>
        <a:stretch/>
      </xdr:blipFill>
      <xdr:spPr>
        <a:xfrm>
          <a:off x="2971800" y="180975"/>
          <a:ext cx="1362075" cy="511620"/>
        </a:xfrm>
        <a:prstGeom prst="rect">
          <a:avLst/>
        </a:prstGeom>
        <a:ln>
          <a:noFill/>
        </a:ln>
      </xdr:spPr>
    </xdr:pic>
    <xdr:clientData/>
  </xdr:twoCellAnchor>
  <xdr:twoCellAnchor editAs="oneCell">
    <xdr:from>
      <xdr:col>2</xdr:col>
      <xdr:colOff>86852</xdr:colOff>
      <xdr:row>6</xdr:row>
      <xdr:rowOff>78266</xdr:rowOff>
    </xdr:from>
    <xdr:to>
      <xdr:col>2</xdr:col>
      <xdr:colOff>1387552</xdr:colOff>
      <xdr:row>7</xdr:row>
      <xdr:rowOff>28575</xdr:rowOff>
    </xdr:to>
    <xdr:pic>
      <xdr:nvPicPr>
        <xdr:cNvPr id="4" name="Imagen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5" cstate="print">
          <a:clrChange>
            <a:clrFrom>
              <a:srgbClr val="E4E4E4"/>
            </a:clrFrom>
            <a:clrTo>
              <a:srgbClr val="E4E4E4">
                <a:alpha val="0"/>
              </a:srgbClr>
            </a:clrTo>
          </a:clrChange>
          <a:extLst>
            <a:ext uri="{BEBA8EAE-BF5A-486C-A8C5-ECC9F3942E4B}">
              <a14:imgProps xmlns:a14="http://schemas.microsoft.com/office/drawing/2010/main">
                <a14:imgLayer>
                  <a14:imgEffect>
                    <a14:saturation sat="0"/>
                  </a14:imgEffect>
                </a14:imgLayer>
              </a14:imgProps>
            </a:ext>
            <a:ext uri="{28A0092B-C50C-407E-A947-70E740481C1C}">
              <a14:useLocalDpi xmlns:a14="http://schemas.microsoft.com/office/drawing/2010/main" val="0"/>
            </a:ext>
          </a:extLst>
        </a:blip>
        <a:stretch>
          <a:fillRect/>
        </a:stretch>
      </xdr:blipFill>
      <xdr:spPr>
        <a:xfrm>
          <a:off x="2982452" y="2926241"/>
          <a:ext cx="1300700" cy="455134"/>
        </a:xfrm>
        <a:prstGeom prst="rect">
          <a:avLst/>
        </a:prstGeom>
        <a:ln>
          <a:noFill/>
        </a:ln>
      </xdr:spPr>
    </xdr:pic>
    <xdr:clientData/>
  </xdr:twoCellAnchor>
  <xdr:twoCellAnchor editAs="oneCell">
    <xdr:from>
      <xdr:col>2</xdr:col>
      <xdr:colOff>142875</xdr:colOff>
      <xdr:row>5</xdr:row>
      <xdr:rowOff>19050</xdr:rowOff>
    </xdr:from>
    <xdr:to>
      <xdr:col>2</xdr:col>
      <xdr:colOff>1400175</xdr:colOff>
      <xdr:row>6</xdr:row>
      <xdr:rowOff>1</xdr:rowOff>
    </xdr:to>
    <xdr:pic>
      <xdr:nvPicPr>
        <xdr:cNvPr id="5" name="Imagen 4">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6"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3038475" y="2362200"/>
          <a:ext cx="1257300" cy="485776"/>
        </a:xfrm>
        <a:prstGeom prst="rect">
          <a:avLst/>
        </a:prstGeom>
        <a:ln>
          <a:noFill/>
        </a:ln>
      </xdr:spPr>
    </xdr:pic>
    <xdr:clientData/>
  </xdr:twoCellAnchor>
  <xdr:twoCellAnchor editAs="oneCell">
    <xdr:from>
      <xdr:col>2</xdr:col>
      <xdr:colOff>47625</xdr:colOff>
      <xdr:row>11</xdr:row>
      <xdr:rowOff>28575</xdr:rowOff>
    </xdr:from>
    <xdr:to>
      <xdr:col>2</xdr:col>
      <xdr:colOff>1466850</xdr:colOff>
      <xdr:row>11</xdr:row>
      <xdr:rowOff>495300</xdr:rowOff>
    </xdr:to>
    <xdr:pic>
      <xdr:nvPicPr>
        <xdr:cNvPr id="6" name="Imagen 6">
          <a:extLst>
            <a:ext uri="{FF2B5EF4-FFF2-40B4-BE49-F238E27FC236}">
              <a16:creationId xmlns:a16="http://schemas.microsoft.com/office/drawing/2014/main" id="{00000000-0008-0000-0E00-000006000000}"/>
            </a:ext>
          </a:extLst>
        </xdr:cNvPr>
        <xdr:cNvPicPr>
          <a:picLocks noChangeAspect="1"/>
        </xdr:cNvPicPr>
      </xdr:nvPicPr>
      <xdr:blipFill>
        <a:blip xmlns:r="http://schemas.openxmlformats.org/officeDocument/2006/relationships" r:embed="rId7" cstate="print">
          <a:clrChange>
            <a:clrFrom>
              <a:srgbClr val="FEFEFE"/>
            </a:clrFrom>
            <a:clrTo>
              <a:srgbClr val="FEFEFE">
                <a:alpha val="0"/>
              </a:srgbClr>
            </a:clrTo>
          </a:clrChange>
          <a:extLst>
            <a:ext uri="{BEBA8EAE-BF5A-486C-A8C5-ECC9F3942E4B}">
              <a14:imgProps xmlns:a14="http://schemas.microsoft.com/office/drawing/2010/main">
                <a14:imgLayer>
                  <a14:imgEffect>
                    <a14:saturation sat="0"/>
                  </a14:imgEffect>
                </a14:imgLayer>
              </a14:imgProps>
            </a:ext>
            <a:ext uri="{28A0092B-C50C-407E-A947-70E740481C1C}">
              <a14:useLocalDpi xmlns:a14="http://schemas.microsoft.com/office/drawing/2010/main" val="0"/>
            </a:ext>
          </a:extLst>
        </a:blip>
        <a:stretch>
          <a:fillRect/>
        </a:stretch>
      </xdr:blipFill>
      <xdr:spPr>
        <a:xfrm>
          <a:off x="2943225" y="5400675"/>
          <a:ext cx="1419225" cy="466725"/>
        </a:xfrm>
        <a:prstGeom prst="rect">
          <a:avLst/>
        </a:prstGeom>
        <a:ln>
          <a:noFill/>
        </a:ln>
      </xdr:spPr>
    </xdr:pic>
    <xdr:clientData/>
  </xdr:twoCellAnchor>
  <xdr:twoCellAnchor editAs="oneCell">
    <xdr:from>
      <xdr:col>2</xdr:col>
      <xdr:colOff>209551</xdr:colOff>
      <xdr:row>3</xdr:row>
      <xdr:rowOff>48102</xdr:rowOff>
    </xdr:from>
    <xdr:to>
      <xdr:col>2</xdr:col>
      <xdr:colOff>1247775</xdr:colOff>
      <xdr:row>4</xdr:row>
      <xdr:rowOff>9525</xdr:rowOff>
    </xdr:to>
    <xdr:pic>
      <xdr:nvPicPr>
        <xdr:cNvPr id="7" name="Imagen 7">
          <a:extLst>
            <a:ext uri="{FF2B5EF4-FFF2-40B4-BE49-F238E27FC236}">
              <a16:creationId xmlns:a16="http://schemas.microsoft.com/office/drawing/2014/main" id="{00000000-0008-0000-0E00-000007000000}"/>
            </a:ext>
          </a:extLst>
        </xdr:cNvPr>
        <xdr:cNvPicPr>
          <a:picLocks noChangeAspect="1"/>
        </xdr:cNvPicPr>
      </xdr:nvPicPr>
      <xdr:blipFill rotWithShape="1">
        <a:blip xmlns:r="http://schemas.openxmlformats.org/officeDocument/2006/relationships" r:embed="rId8" cstate="print">
          <a:clrChange>
            <a:clrFrom>
              <a:srgbClr val="FFFFFF"/>
            </a:clrFrom>
            <a:clrTo>
              <a:srgbClr val="FFFFFF">
                <a:alpha val="0"/>
              </a:srgbClr>
            </a:clrTo>
          </a:clrChange>
          <a:extLst>
            <a:ext uri="{28A0092B-C50C-407E-A947-70E740481C1C}">
              <a14:useLocalDpi xmlns:a14="http://schemas.microsoft.com/office/drawing/2010/main" val="0"/>
            </a:ext>
          </a:extLst>
        </a:blip>
        <a:srcRect l="8469" t="20349" r="39447" b="15553"/>
        <a:stretch/>
      </xdr:blipFill>
      <xdr:spPr>
        <a:xfrm>
          <a:off x="3105151" y="1381602"/>
          <a:ext cx="1038224" cy="466248"/>
        </a:xfrm>
        <a:prstGeom prst="rect">
          <a:avLst/>
        </a:prstGeom>
        <a:ln>
          <a:noFill/>
        </a:ln>
      </xdr:spPr>
    </xdr:pic>
    <xdr:clientData/>
  </xdr:twoCellAnchor>
  <xdr:twoCellAnchor editAs="oneCell">
    <xdr:from>
      <xdr:col>2</xdr:col>
      <xdr:colOff>416662</xdr:colOff>
      <xdr:row>9</xdr:row>
      <xdr:rowOff>14606</xdr:rowOff>
    </xdr:from>
    <xdr:to>
      <xdr:col>2</xdr:col>
      <xdr:colOff>1171575</xdr:colOff>
      <xdr:row>9</xdr:row>
      <xdr:rowOff>495300</xdr:rowOff>
    </xdr:to>
    <xdr:pic>
      <xdr:nvPicPr>
        <xdr:cNvPr id="9" name="Imagen 30">
          <a:extLst>
            <a:ext uri="{FF2B5EF4-FFF2-40B4-BE49-F238E27FC236}">
              <a16:creationId xmlns:a16="http://schemas.microsoft.com/office/drawing/2014/main" id="{00000000-0008-0000-0E00-000009000000}"/>
            </a:ext>
          </a:extLst>
        </xdr:cNvPr>
        <xdr:cNvPicPr>
          <a:picLocks noChangeAspect="1"/>
        </xdr:cNvPicPr>
      </xdr:nvPicPr>
      <xdr:blipFill>
        <a:blip xmlns:r="http://schemas.openxmlformats.org/officeDocument/2006/relationships" r:embed="rId9"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3312262" y="4377056"/>
          <a:ext cx="754913" cy="480694"/>
        </a:xfrm>
        <a:prstGeom prst="rect">
          <a:avLst/>
        </a:prstGeom>
      </xdr:spPr>
    </xdr:pic>
    <xdr:clientData/>
  </xdr:twoCellAnchor>
  <xdr:twoCellAnchor editAs="oneCell">
    <xdr:from>
      <xdr:col>2</xdr:col>
      <xdr:colOff>133350</xdr:colOff>
      <xdr:row>4</xdr:row>
      <xdr:rowOff>28576</xdr:rowOff>
    </xdr:from>
    <xdr:to>
      <xdr:col>2</xdr:col>
      <xdr:colOff>1371600</xdr:colOff>
      <xdr:row>4</xdr:row>
      <xdr:rowOff>476250</xdr:rowOff>
    </xdr:to>
    <xdr:pic>
      <xdr:nvPicPr>
        <xdr:cNvPr id="10" name="Imagen 37">
          <a:extLst>
            <a:ext uri="{FF2B5EF4-FFF2-40B4-BE49-F238E27FC236}">
              <a16:creationId xmlns:a16="http://schemas.microsoft.com/office/drawing/2014/main" id="{00000000-0008-0000-0E00-00000A000000}"/>
            </a:ext>
          </a:extLst>
        </xdr:cNvPr>
        <xdr:cNvPicPr>
          <a:picLocks noChangeAspect="1"/>
        </xdr:cNvPicPr>
      </xdr:nvPicPr>
      <xdr:blipFill>
        <a:blip xmlns:r="http://schemas.openxmlformats.org/officeDocument/2006/relationships" r:embed="rId10" cstate="print"/>
        <a:stretch>
          <a:fillRect/>
        </a:stretch>
      </xdr:blipFill>
      <xdr:spPr>
        <a:xfrm>
          <a:off x="3028950" y="1866901"/>
          <a:ext cx="1238250" cy="447674"/>
        </a:xfrm>
        <a:prstGeom prst="rect">
          <a:avLst/>
        </a:prstGeom>
      </xdr:spPr>
    </xdr:pic>
    <xdr:clientData/>
  </xdr:twoCellAnchor>
  <xdr:twoCellAnchor editAs="oneCell">
    <xdr:from>
      <xdr:col>2</xdr:col>
      <xdr:colOff>123826</xdr:colOff>
      <xdr:row>8</xdr:row>
      <xdr:rowOff>28575</xdr:rowOff>
    </xdr:from>
    <xdr:to>
      <xdr:col>2</xdr:col>
      <xdr:colOff>1333500</xdr:colOff>
      <xdr:row>8</xdr:row>
      <xdr:rowOff>495301</xdr:rowOff>
    </xdr:to>
    <xdr:pic>
      <xdr:nvPicPr>
        <xdr:cNvPr id="11" name="Imagen 38">
          <a:extLst>
            <a:ext uri="{FF2B5EF4-FFF2-40B4-BE49-F238E27FC236}">
              <a16:creationId xmlns:a16="http://schemas.microsoft.com/office/drawing/2014/main" id="{00000000-0008-0000-0E00-00000B000000}"/>
            </a:ext>
          </a:extLst>
        </xdr:cNvPr>
        <xdr:cNvPicPr>
          <a:picLocks noChangeAspect="1"/>
        </xdr:cNvPicPr>
      </xdr:nvPicPr>
      <xdr:blipFill rotWithShape="1">
        <a:blip xmlns:r="http://schemas.openxmlformats.org/officeDocument/2006/relationships" r:embed="rId11" cstate="print"/>
        <a:srcRect l="10185" t="6024" r="10185" b="9638"/>
        <a:stretch/>
      </xdr:blipFill>
      <xdr:spPr>
        <a:xfrm>
          <a:off x="3019426" y="3886200"/>
          <a:ext cx="1209674" cy="466726"/>
        </a:xfrm>
        <a:prstGeom prst="rect">
          <a:avLst/>
        </a:prstGeom>
      </xdr:spPr>
    </xdr:pic>
    <xdr:clientData/>
  </xdr:twoCellAnchor>
  <xdr:twoCellAnchor editAs="oneCell">
    <xdr:from>
      <xdr:col>2</xdr:col>
      <xdr:colOff>123825</xdr:colOff>
      <xdr:row>10</xdr:row>
      <xdr:rowOff>28576</xdr:rowOff>
    </xdr:from>
    <xdr:to>
      <xdr:col>2</xdr:col>
      <xdr:colOff>1295400</xdr:colOff>
      <xdr:row>10</xdr:row>
      <xdr:rowOff>478956</xdr:rowOff>
    </xdr:to>
    <xdr:pic>
      <xdr:nvPicPr>
        <xdr:cNvPr id="12" name="Imagen 39">
          <a:extLst>
            <a:ext uri="{FF2B5EF4-FFF2-40B4-BE49-F238E27FC236}">
              <a16:creationId xmlns:a16="http://schemas.microsoft.com/office/drawing/2014/main" id="{00000000-0008-0000-0E00-00000C000000}"/>
            </a:ext>
          </a:extLst>
        </xdr:cNvPr>
        <xdr:cNvPicPr>
          <a:picLocks noChangeAspect="1"/>
        </xdr:cNvPicPr>
      </xdr:nvPicPr>
      <xdr:blipFill rotWithShape="1">
        <a:blip xmlns:r="http://schemas.openxmlformats.org/officeDocument/2006/relationships" r:embed="rId12" cstate="print"/>
        <a:srcRect l="4762" t="5883" r="11418" b="10283"/>
        <a:stretch/>
      </xdr:blipFill>
      <xdr:spPr>
        <a:xfrm>
          <a:off x="3019425" y="4895851"/>
          <a:ext cx="1171575" cy="450380"/>
        </a:xfrm>
        <a:prstGeom prst="rect">
          <a:avLst/>
        </a:prstGeom>
      </xdr:spPr>
    </xdr:pic>
    <xdr:clientData/>
  </xdr:twoCellAnchor>
  <xdr:twoCellAnchor editAs="oneCell">
    <xdr:from>
      <xdr:col>2</xdr:col>
      <xdr:colOff>123825</xdr:colOff>
      <xdr:row>23</xdr:row>
      <xdr:rowOff>466726</xdr:rowOff>
    </xdr:from>
    <xdr:to>
      <xdr:col>2</xdr:col>
      <xdr:colOff>1409700</xdr:colOff>
      <xdr:row>24</xdr:row>
      <xdr:rowOff>428625</xdr:rowOff>
    </xdr:to>
    <xdr:pic>
      <xdr:nvPicPr>
        <xdr:cNvPr id="13" name="Imagen 40">
          <a:extLst>
            <a:ext uri="{FF2B5EF4-FFF2-40B4-BE49-F238E27FC236}">
              <a16:creationId xmlns:a16="http://schemas.microsoft.com/office/drawing/2014/main" id="{00000000-0008-0000-0E00-00000D000000}"/>
            </a:ext>
          </a:extLst>
        </xdr:cNvPr>
        <xdr:cNvPicPr>
          <a:picLocks noChangeAspect="1"/>
        </xdr:cNvPicPr>
      </xdr:nvPicPr>
      <xdr:blipFill rotWithShape="1">
        <a:blip xmlns:r="http://schemas.openxmlformats.org/officeDocument/2006/relationships" r:embed="rId13" cstate="print"/>
        <a:srcRect l="8876"/>
        <a:stretch/>
      </xdr:blipFill>
      <xdr:spPr>
        <a:xfrm>
          <a:off x="3019425" y="11896726"/>
          <a:ext cx="1285875" cy="466724"/>
        </a:xfrm>
        <a:prstGeom prst="rect">
          <a:avLst/>
        </a:prstGeom>
      </xdr:spPr>
    </xdr:pic>
    <xdr:clientData/>
  </xdr:twoCellAnchor>
  <xdr:twoCellAnchor editAs="oneCell">
    <xdr:from>
      <xdr:col>2</xdr:col>
      <xdr:colOff>161926</xdr:colOff>
      <xdr:row>13</xdr:row>
      <xdr:rowOff>28576</xdr:rowOff>
    </xdr:from>
    <xdr:to>
      <xdr:col>2</xdr:col>
      <xdr:colOff>1390650</xdr:colOff>
      <xdr:row>13</xdr:row>
      <xdr:rowOff>476250</xdr:rowOff>
    </xdr:to>
    <xdr:pic>
      <xdr:nvPicPr>
        <xdr:cNvPr id="14" name="Imagen 41">
          <a:extLst>
            <a:ext uri="{FF2B5EF4-FFF2-40B4-BE49-F238E27FC236}">
              <a16:creationId xmlns:a16="http://schemas.microsoft.com/office/drawing/2014/main" id="{00000000-0008-0000-0E00-00000E000000}"/>
            </a:ext>
          </a:extLst>
        </xdr:cNvPr>
        <xdr:cNvPicPr>
          <a:picLocks noChangeAspect="1"/>
        </xdr:cNvPicPr>
      </xdr:nvPicPr>
      <xdr:blipFill rotWithShape="1">
        <a:blip xmlns:r="http://schemas.openxmlformats.org/officeDocument/2006/relationships" r:embed="rId14" cstate="print"/>
        <a:srcRect l="16218" t="15816" r="15530" b="14873"/>
        <a:stretch/>
      </xdr:blipFill>
      <xdr:spPr>
        <a:xfrm>
          <a:off x="3057526" y="6410326"/>
          <a:ext cx="1228724" cy="447674"/>
        </a:xfrm>
        <a:prstGeom prst="rect">
          <a:avLst/>
        </a:prstGeom>
      </xdr:spPr>
    </xdr:pic>
    <xdr:clientData/>
  </xdr:twoCellAnchor>
  <xdr:twoCellAnchor editAs="oneCell">
    <xdr:from>
      <xdr:col>2</xdr:col>
      <xdr:colOff>66675</xdr:colOff>
      <xdr:row>16</xdr:row>
      <xdr:rowOff>28576</xdr:rowOff>
    </xdr:from>
    <xdr:to>
      <xdr:col>2</xdr:col>
      <xdr:colOff>1476375</xdr:colOff>
      <xdr:row>16</xdr:row>
      <xdr:rowOff>476250</xdr:rowOff>
    </xdr:to>
    <xdr:pic>
      <xdr:nvPicPr>
        <xdr:cNvPr id="17" name="Imagen 44">
          <a:extLst>
            <a:ext uri="{FF2B5EF4-FFF2-40B4-BE49-F238E27FC236}">
              <a16:creationId xmlns:a16="http://schemas.microsoft.com/office/drawing/2014/main" id="{00000000-0008-0000-0E00-000011000000}"/>
            </a:ext>
          </a:extLst>
        </xdr:cNvPr>
        <xdr:cNvPicPr>
          <a:picLocks noChangeAspect="1"/>
        </xdr:cNvPicPr>
      </xdr:nvPicPr>
      <xdr:blipFill rotWithShape="1">
        <a:blip xmlns:r="http://schemas.openxmlformats.org/officeDocument/2006/relationships" r:embed="rId15" cstate="print"/>
        <a:srcRect l="4495" t="11280" r="5044" b="20291"/>
        <a:stretch/>
      </xdr:blipFill>
      <xdr:spPr>
        <a:xfrm>
          <a:off x="2962275" y="7924801"/>
          <a:ext cx="1409700" cy="447674"/>
        </a:xfrm>
        <a:prstGeom prst="rect">
          <a:avLst/>
        </a:prstGeom>
      </xdr:spPr>
    </xdr:pic>
    <xdr:clientData/>
  </xdr:twoCellAnchor>
  <xdr:twoCellAnchor editAs="oneCell">
    <xdr:from>
      <xdr:col>2</xdr:col>
      <xdr:colOff>85725</xdr:colOff>
      <xdr:row>22</xdr:row>
      <xdr:rowOff>38100</xdr:rowOff>
    </xdr:from>
    <xdr:to>
      <xdr:col>2</xdr:col>
      <xdr:colOff>1400175</xdr:colOff>
      <xdr:row>22</xdr:row>
      <xdr:rowOff>485775</xdr:rowOff>
    </xdr:to>
    <xdr:pic>
      <xdr:nvPicPr>
        <xdr:cNvPr id="18" name="Imagen 45">
          <a:extLst>
            <a:ext uri="{FF2B5EF4-FFF2-40B4-BE49-F238E27FC236}">
              <a16:creationId xmlns:a16="http://schemas.microsoft.com/office/drawing/2014/main" id="{00000000-0008-0000-0E00-000012000000}"/>
            </a:ext>
          </a:extLst>
        </xdr:cNvPr>
        <xdr:cNvPicPr>
          <a:picLocks noChangeAspect="1"/>
        </xdr:cNvPicPr>
      </xdr:nvPicPr>
      <xdr:blipFill>
        <a:blip xmlns:r="http://schemas.openxmlformats.org/officeDocument/2006/relationships" r:embed="rId16" cstate="print"/>
        <a:stretch>
          <a:fillRect/>
        </a:stretch>
      </xdr:blipFill>
      <xdr:spPr>
        <a:xfrm>
          <a:off x="2981325" y="10963275"/>
          <a:ext cx="1314450" cy="447675"/>
        </a:xfrm>
        <a:prstGeom prst="rect">
          <a:avLst/>
        </a:prstGeom>
      </xdr:spPr>
    </xdr:pic>
    <xdr:clientData/>
  </xdr:twoCellAnchor>
  <xdr:twoCellAnchor editAs="oneCell">
    <xdr:from>
      <xdr:col>2</xdr:col>
      <xdr:colOff>76199</xdr:colOff>
      <xdr:row>14</xdr:row>
      <xdr:rowOff>9525</xdr:rowOff>
    </xdr:from>
    <xdr:to>
      <xdr:col>2</xdr:col>
      <xdr:colOff>1438275</xdr:colOff>
      <xdr:row>14</xdr:row>
      <xdr:rowOff>495300</xdr:rowOff>
    </xdr:to>
    <xdr:pic>
      <xdr:nvPicPr>
        <xdr:cNvPr id="19" name="Imagen 46">
          <a:extLst>
            <a:ext uri="{FF2B5EF4-FFF2-40B4-BE49-F238E27FC236}">
              <a16:creationId xmlns:a16="http://schemas.microsoft.com/office/drawing/2014/main" id="{00000000-0008-0000-0E00-000013000000}"/>
            </a:ext>
          </a:extLst>
        </xdr:cNvPr>
        <xdr:cNvPicPr>
          <a:picLocks noChangeAspect="1"/>
        </xdr:cNvPicPr>
      </xdr:nvPicPr>
      <xdr:blipFill rotWithShape="1">
        <a:blip xmlns:r="http://schemas.openxmlformats.org/officeDocument/2006/relationships" r:embed="rId17" cstate="print"/>
        <a:srcRect l="9888" r="5637"/>
        <a:stretch/>
      </xdr:blipFill>
      <xdr:spPr>
        <a:xfrm>
          <a:off x="2971799" y="6896100"/>
          <a:ext cx="1362076" cy="485775"/>
        </a:xfrm>
        <a:prstGeom prst="rect">
          <a:avLst/>
        </a:prstGeom>
      </xdr:spPr>
    </xdr:pic>
    <xdr:clientData/>
  </xdr:twoCellAnchor>
  <xdr:twoCellAnchor editAs="oneCell">
    <xdr:from>
      <xdr:col>2</xdr:col>
      <xdr:colOff>114300</xdr:colOff>
      <xdr:row>20</xdr:row>
      <xdr:rowOff>19052</xdr:rowOff>
    </xdr:from>
    <xdr:to>
      <xdr:col>2</xdr:col>
      <xdr:colOff>1362075</xdr:colOff>
      <xdr:row>20</xdr:row>
      <xdr:rowOff>492410</xdr:rowOff>
    </xdr:to>
    <xdr:pic>
      <xdr:nvPicPr>
        <xdr:cNvPr id="20" name="Imagen 47">
          <a:extLst>
            <a:ext uri="{FF2B5EF4-FFF2-40B4-BE49-F238E27FC236}">
              <a16:creationId xmlns:a16="http://schemas.microsoft.com/office/drawing/2014/main" id="{00000000-0008-0000-0E00-000014000000}"/>
            </a:ext>
          </a:extLst>
        </xdr:cNvPr>
        <xdr:cNvPicPr>
          <a:picLocks noChangeAspect="1"/>
        </xdr:cNvPicPr>
      </xdr:nvPicPr>
      <xdr:blipFill rotWithShape="1">
        <a:blip xmlns:r="http://schemas.openxmlformats.org/officeDocument/2006/relationships" r:embed="rId18" cstate="print"/>
        <a:srcRect l="4855" t="31347" r="13582" b="17154"/>
        <a:stretch/>
      </xdr:blipFill>
      <xdr:spPr>
        <a:xfrm>
          <a:off x="3009900" y="9934577"/>
          <a:ext cx="1247775" cy="473358"/>
        </a:xfrm>
        <a:prstGeom prst="rect">
          <a:avLst/>
        </a:prstGeom>
      </xdr:spPr>
    </xdr:pic>
    <xdr:clientData/>
  </xdr:twoCellAnchor>
  <xdr:twoCellAnchor editAs="oneCell">
    <xdr:from>
      <xdr:col>2</xdr:col>
      <xdr:colOff>76199</xdr:colOff>
      <xdr:row>7</xdr:row>
      <xdr:rowOff>66675</xdr:rowOff>
    </xdr:from>
    <xdr:to>
      <xdr:col>2</xdr:col>
      <xdr:colOff>1409700</xdr:colOff>
      <xdr:row>7</xdr:row>
      <xdr:rowOff>495300</xdr:rowOff>
    </xdr:to>
    <xdr:pic>
      <xdr:nvPicPr>
        <xdr:cNvPr id="21" name="Imagen 48">
          <a:extLst>
            <a:ext uri="{FF2B5EF4-FFF2-40B4-BE49-F238E27FC236}">
              <a16:creationId xmlns:a16="http://schemas.microsoft.com/office/drawing/2014/main" id="{00000000-0008-0000-0E00-000015000000}"/>
            </a:ext>
          </a:extLst>
        </xdr:cNvPr>
        <xdr:cNvPicPr>
          <a:picLocks noChangeAspect="1"/>
        </xdr:cNvPicPr>
      </xdr:nvPicPr>
      <xdr:blipFill rotWithShape="1">
        <a:blip xmlns:r="http://schemas.openxmlformats.org/officeDocument/2006/relationships" r:embed="rId19" cstate="print"/>
        <a:srcRect l="13910" t="26171" r="17208" b="35506"/>
        <a:stretch/>
      </xdr:blipFill>
      <xdr:spPr>
        <a:xfrm>
          <a:off x="2971799" y="3257550"/>
          <a:ext cx="1333501" cy="428625"/>
        </a:xfrm>
        <a:prstGeom prst="rect">
          <a:avLst/>
        </a:prstGeom>
      </xdr:spPr>
    </xdr:pic>
    <xdr:clientData/>
  </xdr:twoCellAnchor>
  <xdr:twoCellAnchor editAs="oneCell">
    <xdr:from>
      <xdr:col>2</xdr:col>
      <xdr:colOff>180975</xdr:colOff>
      <xdr:row>19</xdr:row>
      <xdr:rowOff>19051</xdr:rowOff>
    </xdr:from>
    <xdr:to>
      <xdr:col>2</xdr:col>
      <xdr:colOff>1384968</xdr:colOff>
      <xdr:row>19</xdr:row>
      <xdr:rowOff>495300</xdr:rowOff>
    </xdr:to>
    <xdr:pic>
      <xdr:nvPicPr>
        <xdr:cNvPr id="22" name="Imagen 49">
          <a:extLst>
            <a:ext uri="{FF2B5EF4-FFF2-40B4-BE49-F238E27FC236}">
              <a16:creationId xmlns:a16="http://schemas.microsoft.com/office/drawing/2014/main" id="{00000000-0008-0000-0E00-000016000000}"/>
            </a:ext>
          </a:extLst>
        </xdr:cNvPr>
        <xdr:cNvPicPr>
          <a:picLocks noChangeAspect="1"/>
        </xdr:cNvPicPr>
      </xdr:nvPicPr>
      <xdr:blipFill rotWithShape="1">
        <a:blip xmlns:r="http://schemas.openxmlformats.org/officeDocument/2006/relationships" r:embed="rId20" cstate="print"/>
        <a:srcRect l="13137" t="26490" r="8887" b="14584"/>
        <a:stretch/>
      </xdr:blipFill>
      <xdr:spPr>
        <a:xfrm>
          <a:off x="3076575" y="9429751"/>
          <a:ext cx="1203993" cy="476249"/>
        </a:xfrm>
        <a:prstGeom prst="rect">
          <a:avLst/>
        </a:prstGeom>
      </xdr:spPr>
    </xdr:pic>
    <xdr:clientData/>
  </xdr:twoCellAnchor>
  <xdr:twoCellAnchor editAs="oneCell">
    <xdr:from>
      <xdr:col>2</xdr:col>
      <xdr:colOff>85725</xdr:colOff>
      <xdr:row>25</xdr:row>
      <xdr:rowOff>9525</xdr:rowOff>
    </xdr:from>
    <xdr:to>
      <xdr:col>2</xdr:col>
      <xdr:colOff>1314450</xdr:colOff>
      <xdr:row>25</xdr:row>
      <xdr:rowOff>485775</xdr:rowOff>
    </xdr:to>
    <xdr:pic>
      <xdr:nvPicPr>
        <xdr:cNvPr id="26" name="Picture 2">
          <a:extLst>
            <a:ext uri="{FF2B5EF4-FFF2-40B4-BE49-F238E27FC236}">
              <a16:creationId xmlns:a16="http://schemas.microsoft.com/office/drawing/2014/main" id="{00000000-0008-0000-0E00-00001A000000}"/>
            </a:ext>
          </a:extLst>
        </xdr:cNvPr>
        <xdr:cNvPicPr>
          <a:picLocks noChangeAspect="1" noChangeArrowheads="1"/>
        </xdr:cNvPicPr>
      </xdr:nvPicPr>
      <xdr:blipFill>
        <a:blip xmlns:r="http://schemas.openxmlformats.org/officeDocument/2006/relationships" r:embed="rId21" cstate="print"/>
        <a:srcRect/>
        <a:stretch>
          <a:fillRect/>
        </a:stretch>
      </xdr:blipFill>
      <xdr:spPr bwMode="auto">
        <a:xfrm>
          <a:off x="2981325" y="12449175"/>
          <a:ext cx="1228725" cy="476250"/>
        </a:xfrm>
        <a:prstGeom prst="rect">
          <a:avLst/>
        </a:prstGeom>
        <a:noFill/>
      </xdr:spPr>
    </xdr:pic>
    <xdr:clientData/>
  </xdr:twoCellAnchor>
  <xdr:twoCellAnchor editAs="oneCell">
    <xdr:from>
      <xdr:col>2</xdr:col>
      <xdr:colOff>38100</xdr:colOff>
      <xdr:row>30</xdr:row>
      <xdr:rowOff>57150</xdr:rowOff>
    </xdr:from>
    <xdr:to>
      <xdr:col>2</xdr:col>
      <xdr:colOff>1266825</xdr:colOff>
      <xdr:row>31</xdr:row>
      <xdr:rowOff>28575</xdr:rowOff>
    </xdr:to>
    <xdr:pic>
      <xdr:nvPicPr>
        <xdr:cNvPr id="27" name="Picture 2">
          <a:extLst>
            <a:ext uri="{FF2B5EF4-FFF2-40B4-BE49-F238E27FC236}">
              <a16:creationId xmlns:a16="http://schemas.microsoft.com/office/drawing/2014/main" id="{00000000-0008-0000-0E00-00001B000000}"/>
            </a:ext>
          </a:extLst>
        </xdr:cNvPr>
        <xdr:cNvPicPr>
          <a:picLocks noChangeAspect="1" noChangeArrowheads="1"/>
        </xdr:cNvPicPr>
      </xdr:nvPicPr>
      <xdr:blipFill>
        <a:blip xmlns:r="http://schemas.openxmlformats.org/officeDocument/2006/relationships" r:embed="rId21" cstate="print"/>
        <a:srcRect/>
        <a:stretch>
          <a:fillRect/>
        </a:stretch>
      </xdr:blipFill>
      <xdr:spPr bwMode="auto">
        <a:xfrm>
          <a:off x="2933700" y="15020925"/>
          <a:ext cx="1228725" cy="476250"/>
        </a:xfrm>
        <a:prstGeom prst="rect">
          <a:avLst/>
        </a:prstGeom>
        <a:noFill/>
      </xdr:spPr>
    </xdr:pic>
    <xdr:clientData/>
  </xdr:twoCellAnchor>
  <xdr:twoCellAnchor editAs="oneCell">
    <xdr:from>
      <xdr:col>2</xdr:col>
      <xdr:colOff>76201</xdr:colOff>
      <xdr:row>21</xdr:row>
      <xdr:rowOff>38100</xdr:rowOff>
    </xdr:from>
    <xdr:to>
      <xdr:col>2</xdr:col>
      <xdr:colOff>1343025</xdr:colOff>
      <xdr:row>21</xdr:row>
      <xdr:rowOff>495299</xdr:rowOff>
    </xdr:to>
    <xdr:pic>
      <xdr:nvPicPr>
        <xdr:cNvPr id="29" name="Imagen 28">
          <a:extLst>
            <a:ext uri="{FF2B5EF4-FFF2-40B4-BE49-F238E27FC236}">
              <a16:creationId xmlns:a16="http://schemas.microsoft.com/office/drawing/2014/main" id="{FCD7FD6D-84C3-49B1-90B4-CAE7F9447FD3}"/>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2971801" y="10296525"/>
          <a:ext cx="1266824" cy="4571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266701</xdr:colOff>
      <xdr:row>32</xdr:row>
      <xdr:rowOff>19051</xdr:rowOff>
    </xdr:from>
    <xdr:to>
      <xdr:col>2</xdr:col>
      <xdr:colOff>1295401</xdr:colOff>
      <xdr:row>32</xdr:row>
      <xdr:rowOff>498373</xdr:rowOff>
    </xdr:to>
    <xdr:pic>
      <xdr:nvPicPr>
        <xdr:cNvPr id="15" name="Imagen 14">
          <a:extLst>
            <a:ext uri="{FF2B5EF4-FFF2-40B4-BE49-F238E27FC236}">
              <a16:creationId xmlns:a16="http://schemas.microsoft.com/office/drawing/2014/main" id="{13022F50-4EB1-481D-8A53-010AB7AC353F}"/>
            </a:ext>
          </a:extLst>
        </xdr:cNvPr>
        <xdr:cNvPicPr>
          <a:picLocks noChangeAspect="1"/>
        </xdr:cNvPicPr>
      </xdr:nvPicPr>
      <xdr:blipFill>
        <a:blip xmlns:r="http://schemas.openxmlformats.org/officeDocument/2006/relationships" r:embed="rId23"/>
        <a:stretch>
          <a:fillRect/>
        </a:stretch>
      </xdr:blipFill>
      <xdr:spPr>
        <a:xfrm>
          <a:off x="3162301" y="15830551"/>
          <a:ext cx="1028700" cy="479322"/>
        </a:xfrm>
        <a:prstGeom prst="rect">
          <a:avLst/>
        </a:prstGeom>
      </xdr:spPr>
    </xdr:pic>
    <xdr:clientData/>
  </xdr:twoCellAnchor>
  <xdr:oneCellAnchor>
    <xdr:from>
      <xdr:col>2</xdr:col>
      <xdr:colOff>266701</xdr:colOff>
      <xdr:row>28</xdr:row>
      <xdr:rowOff>19051</xdr:rowOff>
    </xdr:from>
    <xdr:ext cx="1028700" cy="479322"/>
    <xdr:pic>
      <xdr:nvPicPr>
        <xdr:cNvPr id="30" name="Imagen 29">
          <a:extLst>
            <a:ext uri="{FF2B5EF4-FFF2-40B4-BE49-F238E27FC236}">
              <a16:creationId xmlns:a16="http://schemas.microsoft.com/office/drawing/2014/main" id="{F831526F-C26D-47D4-ABD5-68B5E2066508}"/>
            </a:ext>
          </a:extLst>
        </xdr:cNvPr>
        <xdr:cNvPicPr>
          <a:picLocks noChangeAspect="1"/>
        </xdr:cNvPicPr>
      </xdr:nvPicPr>
      <xdr:blipFill>
        <a:blip xmlns:r="http://schemas.openxmlformats.org/officeDocument/2006/relationships" r:embed="rId23"/>
        <a:stretch>
          <a:fillRect/>
        </a:stretch>
      </xdr:blipFill>
      <xdr:spPr>
        <a:xfrm>
          <a:off x="3162301" y="15830551"/>
          <a:ext cx="1028700" cy="479322"/>
        </a:xfrm>
        <a:prstGeom prst="rect">
          <a:avLst/>
        </a:prstGeom>
      </xdr:spPr>
    </xdr:pic>
    <xdr:clientData/>
  </xdr:oneCellAnchor>
  <xdr:twoCellAnchor editAs="oneCell">
    <xdr:from>
      <xdr:col>2</xdr:col>
      <xdr:colOff>152400</xdr:colOff>
      <xdr:row>33</xdr:row>
      <xdr:rowOff>28576</xdr:rowOff>
    </xdr:from>
    <xdr:to>
      <xdr:col>2</xdr:col>
      <xdr:colOff>1283345</xdr:colOff>
      <xdr:row>34</xdr:row>
      <xdr:rowOff>1</xdr:rowOff>
    </xdr:to>
    <xdr:pic>
      <xdr:nvPicPr>
        <xdr:cNvPr id="8" name="Imagen 7">
          <a:extLst>
            <a:ext uri="{FF2B5EF4-FFF2-40B4-BE49-F238E27FC236}">
              <a16:creationId xmlns:a16="http://schemas.microsoft.com/office/drawing/2014/main" id="{7E9DB8E4-4AAC-4436-830F-F32541448F92}"/>
            </a:ext>
          </a:extLst>
        </xdr:cNvPr>
        <xdr:cNvPicPr>
          <a:picLocks noChangeAspect="1"/>
        </xdr:cNvPicPr>
      </xdr:nvPicPr>
      <xdr:blipFill>
        <a:blip xmlns:r="http://schemas.openxmlformats.org/officeDocument/2006/relationships" r:embed="rId24"/>
        <a:stretch>
          <a:fillRect/>
        </a:stretch>
      </xdr:blipFill>
      <xdr:spPr>
        <a:xfrm>
          <a:off x="3048000" y="16344901"/>
          <a:ext cx="1130945" cy="476250"/>
        </a:xfrm>
        <a:prstGeom prst="rect">
          <a:avLst/>
        </a:prstGeom>
      </xdr:spPr>
    </xdr:pic>
    <xdr:clientData/>
  </xdr:twoCellAnchor>
  <xdr:oneCellAnchor>
    <xdr:from>
      <xdr:col>2</xdr:col>
      <xdr:colOff>47625</xdr:colOff>
      <xdr:row>27</xdr:row>
      <xdr:rowOff>28575</xdr:rowOff>
    </xdr:from>
    <xdr:ext cx="1419225" cy="466725"/>
    <xdr:pic>
      <xdr:nvPicPr>
        <xdr:cNvPr id="28" name="Imagen 6">
          <a:extLst>
            <a:ext uri="{FF2B5EF4-FFF2-40B4-BE49-F238E27FC236}">
              <a16:creationId xmlns:a16="http://schemas.microsoft.com/office/drawing/2014/main" id="{F3E72614-B3BC-40CD-A97D-84AEF34A28A2}"/>
            </a:ext>
          </a:extLst>
        </xdr:cNvPr>
        <xdr:cNvPicPr>
          <a:picLocks noChangeAspect="1"/>
        </xdr:cNvPicPr>
      </xdr:nvPicPr>
      <xdr:blipFill>
        <a:blip xmlns:r="http://schemas.openxmlformats.org/officeDocument/2006/relationships" r:embed="rId7" cstate="print">
          <a:clrChange>
            <a:clrFrom>
              <a:srgbClr val="FEFEFE"/>
            </a:clrFrom>
            <a:clrTo>
              <a:srgbClr val="FEFEFE">
                <a:alpha val="0"/>
              </a:srgbClr>
            </a:clrTo>
          </a:clrChange>
          <a:extLst>
            <a:ext uri="{BEBA8EAE-BF5A-486C-A8C5-ECC9F3942E4B}">
              <a14:imgProps xmlns:a14="http://schemas.microsoft.com/office/drawing/2010/main">
                <a14:imgLayer>
                  <a14:imgEffect>
                    <a14:saturation sat="0"/>
                  </a14:imgEffect>
                </a14:imgLayer>
              </a14:imgProps>
            </a:ext>
            <a:ext uri="{28A0092B-C50C-407E-A947-70E740481C1C}">
              <a14:useLocalDpi xmlns:a14="http://schemas.microsoft.com/office/drawing/2010/main" val="0"/>
            </a:ext>
          </a:extLst>
        </a:blip>
        <a:stretch>
          <a:fillRect/>
        </a:stretch>
      </xdr:blipFill>
      <xdr:spPr>
        <a:xfrm>
          <a:off x="2943225" y="5238750"/>
          <a:ext cx="1419225" cy="466725"/>
        </a:xfrm>
        <a:prstGeom prst="rect">
          <a:avLst/>
        </a:prstGeom>
        <a:ln>
          <a:noFill/>
        </a:ln>
      </xdr:spPr>
    </xdr:pic>
    <xdr:clientData/>
  </xdr:oneCellAnchor>
</xdr:wsDr>
</file>

<file path=xl/drawings/drawing2.xml><?xml version="1.0" encoding="utf-8"?>
<xdr:wsDr xmlns:xdr="http://schemas.openxmlformats.org/drawingml/2006/spreadsheetDrawing" xmlns:a="http://schemas.openxmlformats.org/drawingml/2006/main">
  <xdr:twoCellAnchor>
    <xdr:from>
      <xdr:col>2</xdr:col>
      <xdr:colOff>85726</xdr:colOff>
      <xdr:row>19</xdr:row>
      <xdr:rowOff>95249</xdr:rowOff>
    </xdr:from>
    <xdr:to>
      <xdr:col>33</xdr:col>
      <xdr:colOff>142875</xdr:colOff>
      <xdr:row>37</xdr:row>
      <xdr:rowOff>114299</xdr:rowOff>
    </xdr:to>
    <xdr:graphicFrame macro="">
      <xdr:nvGraphicFramePr>
        <xdr:cNvPr id="2" name="Gráfico 3">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92370</xdr:colOff>
      <xdr:row>0</xdr:row>
      <xdr:rowOff>95249</xdr:rowOff>
    </xdr:from>
    <xdr:to>
      <xdr:col>6</xdr:col>
      <xdr:colOff>76200</xdr:colOff>
      <xdr:row>4</xdr:row>
      <xdr:rowOff>85724</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92370" y="95249"/>
          <a:ext cx="1050630" cy="885825"/>
        </a:xfrm>
        <a:prstGeom prst="rect">
          <a:avLst/>
        </a:prstGeom>
        <a:noFill/>
        <a:ln w="9525">
          <a:noFill/>
          <a:miter lim="800000"/>
          <a:headEnd/>
          <a:tailEnd/>
        </a:ln>
      </xdr:spPr>
    </xdr:pic>
    <xdr:clientData/>
  </xdr:twoCellAnchor>
  <xdr:twoCellAnchor>
    <xdr:from>
      <xdr:col>37</xdr:col>
      <xdr:colOff>285750</xdr:colOff>
      <xdr:row>39</xdr:row>
      <xdr:rowOff>285750</xdr:rowOff>
    </xdr:from>
    <xdr:to>
      <xdr:col>39</xdr:col>
      <xdr:colOff>359752</xdr:colOff>
      <xdr:row>39</xdr:row>
      <xdr:rowOff>296739</xdr:rowOff>
    </xdr:to>
    <xdr:cxnSp macro="">
      <xdr:nvCxnSpPr>
        <xdr:cNvPr id="10" name="Conector recto 9">
          <a:extLst>
            <a:ext uri="{FF2B5EF4-FFF2-40B4-BE49-F238E27FC236}">
              <a16:creationId xmlns:a16="http://schemas.microsoft.com/office/drawing/2014/main" id="{00000000-0008-0000-0300-00000A000000}"/>
            </a:ext>
          </a:extLst>
        </xdr:cNvPr>
        <xdr:cNvCxnSpPr/>
      </xdr:nvCxnSpPr>
      <xdr:spPr>
        <a:xfrm flipV="1">
          <a:off x="7543800" y="7324725"/>
          <a:ext cx="1683727" cy="1098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123825</xdr:colOff>
      <xdr:row>43</xdr:row>
      <xdr:rowOff>0</xdr:rowOff>
    </xdr:from>
    <xdr:to>
      <xdr:col>16</xdr:col>
      <xdr:colOff>83527</xdr:colOff>
      <xdr:row>43</xdr:row>
      <xdr:rowOff>0</xdr:rowOff>
    </xdr:to>
    <xdr:cxnSp macro="">
      <xdr:nvCxnSpPr>
        <xdr:cNvPr id="11" name="Conector recto 10">
          <a:extLst>
            <a:ext uri="{FF2B5EF4-FFF2-40B4-BE49-F238E27FC236}">
              <a16:creationId xmlns:a16="http://schemas.microsoft.com/office/drawing/2014/main" id="{00000000-0008-0000-0300-00000B000000}"/>
            </a:ext>
          </a:extLst>
        </xdr:cNvPr>
        <xdr:cNvCxnSpPr/>
      </xdr:nvCxnSpPr>
      <xdr:spPr>
        <a:xfrm>
          <a:off x="1552575" y="8362950"/>
          <a:ext cx="1407502"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43</xdr:row>
      <xdr:rowOff>0</xdr:rowOff>
    </xdr:from>
    <xdr:to>
      <xdr:col>27</xdr:col>
      <xdr:colOff>35902</xdr:colOff>
      <xdr:row>43</xdr:row>
      <xdr:rowOff>0</xdr:rowOff>
    </xdr:to>
    <xdr:cxnSp macro="">
      <xdr:nvCxnSpPr>
        <xdr:cNvPr id="12" name="Conector recto 11">
          <a:extLst>
            <a:ext uri="{FF2B5EF4-FFF2-40B4-BE49-F238E27FC236}">
              <a16:creationId xmlns:a16="http://schemas.microsoft.com/office/drawing/2014/main" id="{00000000-0008-0000-0300-00000C000000}"/>
            </a:ext>
          </a:extLst>
        </xdr:cNvPr>
        <xdr:cNvCxnSpPr/>
      </xdr:nvCxnSpPr>
      <xdr:spPr>
        <a:xfrm>
          <a:off x="3257550" y="8220075"/>
          <a:ext cx="1407502"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180975</xdr:colOff>
      <xdr:row>43</xdr:row>
      <xdr:rowOff>0</xdr:rowOff>
    </xdr:from>
    <xdr:to>
      <xdr:col>35</xdr:col>
      <xdr:colOff>74002</xdr:colOff>
      <xdr:row>43</xdr:row>
      <xdr:rowOff>0</xdr:rowOff>
    </xdr:to>
    <xdr:cxnSp macro="">
      <xdr:nvCxnSpPr>
        <xdr:cNvPr id="13" name="Conector recto 12">
          <a:extLst>
            <a:ext uri="{FF2B5EF4-FFF2-40B4-BE49-F238E27FC236}">
              <a16:creationId xmlns:a16="http://schemas.microsoft.com/office/drawing/2014/main" id="{00000000-0008-0000-0300-00000D000000}"/>
            </a:ext>
          </a:extLst>
        </xdr:cNvPr>
        <xdr:cNvCxnSpPr/>
      </xdr:nvCxnSpPr>
      <xdr:spPr>
        <a:xfrm>
          <a:off x="4981575" y="8220075"/>
          <a:ext cx="1407502"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17</xdr:col>
          <xdr:colOff>0</xdr:colOff>
          <xdr:row>42</xdr:row>
          <xdr:rowOff>0</xdr:rowOff>
        </xdr:from>
        <xdr:to>
          <xdr:col>27</xdr:col>
          <xdr:colOff>142875</xdr:colOff>
          <xdr:row>42</xdr:row>
          <xdr:rowOff>476250</xdr:rowOff>
        </xdr:to>
        <xdr:pic>
          <xdr:nvPicPr>
            <xdr:cNvPr id="16387" name="Picture 3">
              <a:extLst>
                <a:ext uri="{FF2B5EF4-FFF2-40B4-BE49-F238E27FC236}">
                  <a16:creationId xmlns:a16="http://schemas.microsoft.com/office/drawing/2014/main" id="{00000000-0008-0000-0300-000003400000}"/>
                </a:ext>
              </a:extLst>
            </xdr:cNvPr>
            <xdr:cNvPicPr>
              <a:picLocks noChangeAspect="1"/>
              <a:extLst>
                <a:ext uri="{84589F7E-364E-4C9E-8A38-B11213B215E9}">
                  <a14:cameraTool cellRange="revisofirmas4" spid="_x0000_s225714"/>
                </a:ext>
              </a:extLst>
            </xdr:cNvPicPr>
          </xdr:nvPicPr>
          <xdr:blipFill>
            <a:blip xmlns:r="http://schemas.openxmlformats.org/officeDocument/2006/relationships" r:embed="rId3"/>
            <a:srcRect/>
            <a:stretch>
              <a:fillRect/>
            </a:stretch>
          </xdr:blipFill>
          <xdr:spPr bwMode="auto">
            <a:xfrm>
              <a:off x="3057525" y="7858125"/>
              <a:ext cx="1657350" cy="4762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41</xdr:row>
          <xdr:rowOff>152400</xdr:rowOff>
        </xdr:from>
        <xdr:to>
          <xdr:col>35</xdr:col>
          <xdr:colOff>152400</xdr:colOff>
          <xdr:row>42</xdr:row>
          <xdr:rowOff>495300</xdr:rowOff>
        </xdr:to>
        <xdr:pic>
          <xdr:nvPicPr>
            <xdr:cNvPr id="16388" name="Picture 4">
              <a:extLst>
                <a:ext uri="{FF2B5EF4-FFF2-40B4-BE49-F238E27FC236}">
                  <a16:creationId xmlns:a16="http://schemas.microsoft.com/office/drawing/2014/main" id="{00000000-0008-0000-0300-000004400000}"/>
                </a:ext>
              </a:extLst>
            </xdr:cNvPr>
            <xdr:cNvPicPr>
              <a:picLocks noChangeAspect="1"/>
              <a:extLst>
                <a:ext uri="{84589F7E-364E-4C9E-8A38-B11213B215E9}">
                  <a14:cameraTool cellRange="aprobofirmas4" spid="_x0000_s225715"/>
                </a:ext>
              </a:extLst>
            </xdr:cNvPicPr>
          </xdr:nvPicPr>
          <xdr:blipFill>
            <a:blip xmlns:r="http://schemas.openxmlformats.org/officeDocument/2006/relationships" r:embed="rId4"/>
            <a:srcRect/>
            <a:stretch>
              <a:fillRect/>
            </a:stretch>
          </xdr:blipFill>
          <xdr:spPr bwMode="auto">
            <a:xfrm>
              <a:off x="4743450" y="7839075"/>
              <a:ext cx="1666875" cy="5143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41</xdr:row>
          <xdr:rowOff>161925</xdr:rowOff>
        </xdr:from>
        <xdr:to>
          <xdr:col>17</xdr:col>
          <xdr:colOff>19050</xdr:colOff>
          <xdr:row>42</xdr:row>
          <xdr:rowOff>466725</xdr:rowOff>
        </xdr:to>
        <xdr:pic>
          <xdr:nvPicPr>
            <xdr:cNvPr id="16389" name="Picture 5">
              <a:extLst>
                <a:ext uri="{FF2B5EF4-FFF2-40B4-BE49-F238E27FC236}">
                  <a16:creationId xmlns:a16="http://schemas.microsoft.com/office/drawing/2014/main" id="{00000000-0008-0000-0300-000005400000}"/>
                </a:ext>
              </a:extLst>
            </xdr:cNvPr>
            <xdr:cNvPicPr>
              <a:picLocks noChangeAspect="1"/>
              <a:extLst>
                <a:ext uri="{84589F7E-364E-4C9E-8A38-B11213B215E9}">
                  <a14:cameraTool cellRange="elaborofirmas4" spid="_x0000_s225716"/>
                </a:ext>
              </a:extLst>
            </xdr:cNvPicPr>
          </xdr:nvPicPr>
          <xdr:blipFill>
            <a:blip xmlns:r="http://schemas.openxmlformats.org/officeDocument/2006/relationships" r:embed="rId5"/>
            <a:srcRect/>
            <a:stretch>
              <a:fillRect/>
            </a:stretch>
          </xdr:blipFill>
          <xdr:spPr bwMode="auto">
            <a:xfrm>
              <a:off x="1428750" y="7848600"/>
              <a:ext cx="1647825" cy="4762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65087</xdr:colOff>
      <xdr:row>0</xdr:row>
      <xdr:rowOff>57150</xdr:rowOff>
    </xdr:from>
    <xdr:to>
      <xdr:col>2</xdr:col>
      <xdr:colOff>361949</xdr:colOff>
      <xdr:row>4</xdr:row>
      <xdr:rowOff>126998</xdr:rowOff>
    </xdr:to>
    <xdr:pic>
      <xdr:nvPicPr>
        <xdr:cNvPr id="2" name="Imagen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087" y="57150"/>
          <a:ext cx="1373187" cy="8889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95250</xdr:colOff>
      <xdr:row>22</xdr:row>
      <xdr:rowOff>0</xdr:rowOff>
    </xdr:from>
    <xdr:to>
      <xdr:col>4</xdr:col>
      <xdr:colOff>731227</xdr:colOff>
      <xdr:row>22</xdr:row>
      <xdr:rowOff>0</xdr:rowOff>
    </xdr:to>
    <xdr:cxnSp macro="">
      <xdr:nvCxnSpPr>
        <xdr:cNvPr id="11" name="Conector recto 10">
          <a:extLst>
            <a:ext uri="{FF2B5EF4-FFF2-40B4-BE49-F238E27FC236}">
              <a16:creationId xmlns:a16="http://schemas.microsoft.com/office/drawing/2014/main" id="{00000000-0008-0000-0400-00000B000000}"/>
            </a:ext>
          </a:extLst>
        </xdr:cNvPr>
        <xdr:cNvCxnSpPr/>
      </xdr:nvCxnSpPr>
      <xdr:spPr>
        <a:xfrm>
          <a:off x="1590675" y="8658225"/>
          <a:ext cx="1407502"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22</xdr:row>
      <xdr:rowOff>0</xdr:rowOff>
    </xdr:from>
    <xdr:to>
      <xdr:col>10</xdr:col>
      <xdr:colOff>502627</xdr:colOff>
      <xdr:row>22</xdr:row>
      <xdr:rowOff>0</xdr:rowOff>
    </xdr:to>
    <xdr:cxnSp macro="">
      <xdr:nvCxnSpPr>
        <xdr:cNvPr id="14" name="Conector recto 10">
          <a:extLst>
            <a:ext uri="{FF2B5EF4-FFF2-40B4-BE49-F238E27FC236}">
              <a16:creationId xmlns:a16="http://schemas.microsoft.com/office/drawing/2014/main" id="{00000000-0008-0000-0400-00000E000000}"/>
            </a:ext>
          </a:extLst>
        </xdr:cNvPr>
        <xdr:cNvCxnSpPr/>
      </xdr:nvCxnSpPr>
      <xdr:spPr>
        <a:xfrm>
          <a:off x="4991100" y="8515350"/>
          <a:ext cx="1407502"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133350</xdr:colOff>
      <xdr:row>22</xdr:row>
      <xdr:rowOff>0</xdr:rowOff>
    </xdr:from>
    <xdr:to>
      <xdr:col>7</xdr:col>
      <xdr:colOff>721702</xdr:colOff>
      <xdr:row>22</xdr:row>
      <xdr:rowOff>0</xdr:rowOff>
    </xdr:to>
    <xdr:cxnSp macro="">
      <xdr:nvCxnSpPr>
        <xdr:cNvPr id="15" name="Conector recto 10">
          <a:extLst>
            <a:ext uri="{FF2B5EF4-FFF2-40B4-BE49-F238E27FC236}">
              <a16:creationId xmlns:a16="http://schemas.microsoft.com/office/drawing/2014/main" id="{00000000-0008-0000-0400-00000F000000}"/>
            </a:ext>
          </a:extLst>
        </xdr:cNvPr>
        <xdr:cNvCxnSpPr/>
      </xdr:nvCxnSpPr>
      <xdr:spPr>
        <a:xfrm>
          <a:off x="3267075" y="8515350"/>
          <a:ext cx="1407502"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304800</xdr:colOff>
      <xdr:row>19</xdr:row>
      <xdr:rowOff>323850</xdr:rowOff>
    </xdr:from>
    <xdr:to>
      <xdr:col>14</xdr:col>
      <xdr:colOff>464527</xdr:colOff>
      <xdr:row>19</xdr:row>
      <xdr:rowOff>334839</xdr:rowOff>
    </xdr:to>
    <xdr:cxnSp macro="">
      <xdr:nvCxnSpPr>
        <xdr:cNvPr id="9" name="Conector recto 9">
          <a:extLst>
            <a:ext uri="{FF2B5EF4-FFF2-40B4-BE49-F238E27FC236}">
              <a16:creationId xmlns:a16="http://schemas.microsoft.com/office/drawing/2014/main" id="{00000000-0008-0000-0400-000009000000}"/>
            </a:ext>
          </a:extLst>
        </xdr:cNvPr>
        <xdr:cNvCxnSpPr/>
      </xdr:nvCxnSpPr>
      <xdr:spPr>
        <a:xfrm flipV="1">
          <a:off x="7658100" y="7172325"/>
          <a:ext cx="1683727" cy="1098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0</xdr:colOff>
          <xdr:row>21</xdr:row>
          <xdr:rowOff>28575</xdr:rowOff>
        </xdr:from>
        <xdr:to>
          <xdr:col>7</xdr:col>
          <xdr:colOff>828675</xdr:colOff>
          <xdr:row>21</xdr:row>
          <xdr:rowOff>523875</xdr:rowOff>
        </xdr:to>
        <xdr:pic>
          <xdr:nvPicPr>
            <xdr:cNvPr id="17411" name="Picture 3">
              <a:extLst>
                <a:ext uri="{FF2B5EF4-FFF2-40B4-BE49-F238E27FC236}">
                  <a16:creationId xmlns:a16="http://schemas.microsoft.com/office/drawing/2014/main" id="{00000000-0008-0000-0400-000003440000}"/>
                </a:ext>
              </a:extLst>
            </xdr:cNvPr>
            <xdr:cNvPicPr>
              <a:picLocks noChangeAspect="1"/>
              <a:extLst>
                <a:ext uri="{84589F7E-364E-4C9E-8A38-B11213B215E9}">
                  <a14:cameraTool cellRange="revisofirmas5" spid="_x0000_s206261"/>
                </a:ext>
              </a:extLst>
            </xdr:cNvPicPr>
          </xdr:nvPicPr>
          <xdr:blipFill>
            <a:blip xmlns:r="http://schemas.openxmlformats.org/officeDocument/2006/relationships" r:embed="rId2"/>
            <a:srcRect/>
            <a:stretch>
              <a:fillRect/>
            </a:stretch>
          </xdr:blipFill>
          <xdr:spPr bwMode="auto">
            <a:xfrm>
              <a:off x="3114675" y="7562850"/>
              <a:ext cx="1647825" cy="4953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21</xdr:row>
          <xdr:rowOff>28575</xdr:rowOff>
        </xdr:from>
        <xdr:to>
          <xdr:col>10</xdr:col>
          <xdr:colOff>609600</xdr:colOff>
          <xdr:row>21</xdr:row>
          <xdr:rowOff>542925</xdr:rowOff>
        </xdr:to>
        <xdr:pic>
          <xdr:nvPicPr>
            <xdr:cNvPr id="17412" name="Picture 4">
              <a:extLst>
                <a:ext uri="{FF2B5EF4-FFF2-40B4-BE49-F238E27FC236}">
                  <a16:creationId xmlns:a16="http://schemas.microsoft.com/office/drawing/2014/main" id="{00000000-0008-0000-0400-000004440000}"/>
                </a:ext>
              </a:extLst>
            </xdr:cNvPr>
            <xdr:cNvPicPr>
              <a:picLocks noChangeAspect="1"/>
              <a:extLst>
                <a:ext uri="{84589F7E-364E-4C9E-8A38-B11213B215E9}">
                  <a14:cameraTool cellRange="aprobofirmas5" spid="_x0000_s206262"/>
                </a:ext>
              </a:extLst>
            </xdr:cNvPicPr>
          </xdr:nvPicPr>
          <xdr:blipFill>
            <a:blip xmlns:r="http://schemas.openxmlformats.org/officeDocument/2006/relationships" r:embed="rId3"/>
            <a:srcRect/>
            <a:stretch>
              <a:fillRect/>
            </a:stretch>
          </xdr:blipFill>
          <xdr:spPr bwMode="auto">
            <a:xfrm>
              <a:off x="4781550" y="7562850"/>
              <a:ext cx="1704975" cy="5143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28575</xdr:rowOff>
        </xdr:from>
        <xdr:to>
          <xdr:col>5</xdr:col>
          <xdr:colOff>28575</xdr:colOff>
          <xdr:row>21</xdr:row>
          <xdr:rowOff>533400</xdr:rowOff>
        </xdr:to>
        <xdr:pic>
          <xdr:nvPicPr>
            <xdr:cNvPr id="17413" name="Picture 5">
              <a:extLst>
                <a:ext uri="{FF2B5EF4-FFF2-40B4-BE49-F238E27FC236}">
                  <a16:creationId xmlns:a16="http://schemas.microsoft.com/office/drawing/2014/main" id="{00000000-0008-0000-0400-000005440000}"/>
                </a:ext>
              </a:extLst>
            </xdr:cNvPr>
            <xdr:cNvPicPr>
              <a:picLocks noChangeAspect="1"/>
              <a:extLst>
                <a:ext uri="{84589F7E-364E-4C9E-8A38-B11213B215E9}">
                  <a14:cameraTool cellRange="elaborofirmas5" spid="_x0000_s206263"/>
                </a:ext>
              </a:extLst>
            </xdr:cNvPicPr>
          </xdr:nvPicPr>
          <xdr:blipFill>
            <a:blip xmlns:r="http://schemas.openxmlformats.org/officeDocument/2006/relationships" r:embed="rId4"/>
            <a:srcRect/>
            <a:stretch>
              <a:fillRect/>
            </a:stretch>
          </xdr:blipFill>
          <xdr:spPr bwMode="auto">
            <a:xfrm>
              <a:off x="1476375" y="7562850"/>
              <a:ext cx="1619250" cy="5048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257175</xdr:colOff>
      <xdr:row>0</xdr:row>
      <xdr:rowOff>38100</xdr:rowOff>
    </xdr:from>
    <xdr:to>
      <xdr:col>2</xdr:col>
      <xdr:colOff>209550</xdr:colOff>
      <xdr:row>4</xdr:row>
      <xdr:rowOff>133350</xdr:rowOff>
    </xdr:to>
    <xdr:pic>
      <xdr:nvPicPr>
        <xdr:cNvPr id="2" name="Imagen 2">
          <a:extLst>
            <a:ext uri="{FF2B5EF4-FFF2-40B4-BE49-F238E27FC236}">
              <a16:creationId xmlns:a16="http://schemas.microsoft.com/office/drawing/2014/main" id="{23ED94E9-02F1-4DC1-AB15-D05784EFF3E8}"/>
            </a:ext>
          </a:extLst>
        </xdr:cNvPr>
        <xdr:cNvPicPr>
          <a:picLocks noChangeAspect="1"/>
        </xdr:cNvPicPr>
      </xdr:nvPicPr>
      <xdr:blipFill>
        <a:blip xmlns:r="http://schemas.openxmlformats.org/officeDocument/2006/relationships" r:embed="rId1" cstate="print"/>
        <a:srcRect/>
        <a:stretch>
          <a:fillRect/>
        </a:stretch>
      </xdr:blipFill>
      <xdr:spPr bwMode="auto">
        <a:xfrm>
          <a:off x="257175" y="38100"/>
          <a:ext cx="981075" cy="828675"/>
        </a:xfrm>
        <a:prstGeom prst="rect">
          <a:avLst/>
        </a:prstGeom>
        <a:noFill/>
        <a:ln w="9525">
          <a:noFill/>
          <a:miter lim="800000"/>
          <a:headEnd/>
          <a:tailEnd/>
        </a:ln>
      </xdr:spPr>
    </xdr:pic>
    <xdr:clientData/>
  </xdr:twoCellAnchor>
  <xdr:twoCellAnchor>
    <xdr:from>
      <xdr:col>5</xdr:col>
      <xdr:colOff>104775</xdr:colOff>
      <xdr:row>30</xdr:row>
      <xdr:rowOff>0</xdr:rowOff>
    </xdr:from>
    <xdr:to>
      <xdr:col>7</xdr:col>
      <xdr:colOff>428625</xdr:colOff>
      <xdr:row>30</xdr:row>
      <xdr:rowOff>1588</xdr:rowOff>
    </xdr:to>
    <xdr:cxnSp macro="">
      <xdr:nvCxnSpPr>
        <xdr:cNvPr id="3" name="4 Conector recto">
          <a:extLst>
            <a:ext uri="{FF2B5EF4-FFF2-40B4-BE49-F238E27FC236}">
              <a16:creationId xmlns:a16="http://schemas.microsoft.com/office/drawing/2014/main" id="{E264168D-D2F2-4B9E-9B22-5448D7785686}"/>
            </a:ext>
          </a:extLst>
        </xdr:cNvPr>
        <xdr:cNvCxnSpPr/>
      </xdr:nvCxnSpPr>
      <xdr:spPr>
        <a:xfrm>
          <a:off x="2876550" y="8048625"/>
          <a:ext cx="1485900" cy="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123825</xdr:colOff>
      <xdr:row>30</xdr:row>
      <xdr:rowOff>0</xdr:rowOff>
    </xdr:from>
    <xdr:to>
      <xdr:col>10</xdr:col>
      <xdr:colOff>447675</xdr:colOff>
      <xdr:row>30</xdr:row>
      <xdr:rowOff>1588</xdr:rowOff>
    </xdr:to>
    <xdr:cxnSp macro="">
      <xdr:nvCxnSpPr>
        <xdr:cNvPr id="4" name="5 Conector recto">
          <a:extLst>
            <a:ext uri="{FF2B5EF4-FFF2-40B4-BE49-F238E27FC236}">
              <a16:creationId xmlns:a16="http://schemas.microsoft.com/office/drawing/2014/main" id="{BB86D39F-1493-40D4-8BE6-23BF0E831CC9}"/>
            </a:ext>
          </a:extLst>
        </xdr:cNvPr>
        <xdr:cNvCxnSpPr/>
      </xdr:nvCxnSpPr>
      <xdr:spPr>
        <a:xfrm>
          <a:off x="4638675" y="8048625"/>
          <a:ext cx="1485900" cy="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76200</xdr:colOff>
      <xdr:row>30</xdr:row>
      <xdr:rowOff>0</xdr:rowOff>
    </xdr:from>
    <xdr:to>
      <xdr:col>4</xdr:col>
      <xdr:colOff>400050</xdr:colOff>
      <xdr:row>30</xdr:row>
      <xdr:rowOff>1588</xdr:rowOff>
    </xdr:to>
    <xdr:cxnSp macro="">
      <xdr:nvCxnSpPr>
        <xdr:cNvPr id="5" name="6 Conector recto">
          <a:extLst>
            <a:ext uri="{FF2B5EF4-FFF2-40B4-BE49-F238E27FC236}">
              <a16:creationId xmlns:a16="http://schemas.microsoft.com/office/drawing/2014/main" id="{12D1900F-83E0-4510-B27F-6EB3BD4E22B3}"/>
            </a:ext>
          </a:extLst>
        </xdr:cNvPr>
        <xdr:cNvCxnSpPr/>
      </xdr:nvCxnSpPr>
      <xdr:spPr>
        <a:xfrm>
          <a:off x="1104900" y="8048625"/>
          <a:ext cx="1485900" cy="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0</xdr:colOff>
          <xdr:row>29</xdr:row>
          <xdr:rowOff>38100</xdr:rowOff>
        </xdr:from>
        <xdr:to>
          <xdr:col>4</xdr:col>
          <xdr:colOff>352425</xdr:colOff>
          <xdr:row>29</xdr:row>
          <xdr:rowOff>466725</xdr:rowOff>
        </xdr:to>
        <xdr:pic>
          <xdr:nvPicPr>
            <xdr:cNvPr id="6" name="Imagen 30">
              <a:extLst>
                <a:ext uri="{FF2B5EF4-FFF2-40B4-BE49-F238E27FC236}">
                  <a16:creationId xmlns:a16="http://schemas.microsoft.com/office/drawing/2014/main" id="{2C83BBAA-04BC-4285-B54C-6BE9DF062592}"/>
                </a:ext>
              </a:extLst>
            </xdr:cNvPr>
            <xdr:cNvPicPr>
              <a:picLocks noChangeAspect="1" noChangeArrowheads="1"/>
              <a:extLst>
                <a:ext uri="{84589F7E-364E-4C9E-8A38-B11213B215E9}">
                  <a14:cameraTool cellRange="elaborofirmash" spid="_x0000_s352495"/>
                </a:ext>
              </a:extLst>
            </xdr:cNvPicPr>
          </xdr:nvPicPr>
          <xdr:blipFill>
            <a:blip xmlns:r="http://schemas.openxmlformats.org/officeDocument/2006/relationships" r:embed="rId2"/>
            <a:srcRect/>
            <a:stretch>
              <a:fillRect/>
            </a:stretch>
          </xdr:blipFill>
          <xdr:spPr bwMode="auto">
            <a:xfrm>
              <a:off x="1028700" y="7581900"/>
              <a:ext cx="1514475" cy="4286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xdr:row>
          <xdr:rowOff>47626</xdr:rowOff>
        </xdr:from>
        <xdr:to>
          <xdr:col>7</xdr:col>
          <xdr:colOff>200025</xdr:colOff>
          <xdr:row>29</xdr:row>
          <xdr:rowOff>447676</xdr:rowOff>
        </xdr:to>
        <xdr:pic>
          <xdr:nvPicPr>
            <xdr:cNvPr id="7" name="Imagen 2">
              <a:extLst>
                <a:ext uri="{FF2B5EF4-FFF2-40B4-BE49-F238E27FC236}">
                  <a16:creationId xmlns:a16="http://schemas.microsoft.com/office/drawing/2014/main" id="{741DD7FF-53D5-4C02-AD53-165AE002423D}"/>
                </a:ext>
              </a:extLst>
            </xdr:cNvPr>
            <xdr:cNvPicPr>
              <a:picLocks noChangeAspect="1" noChangeArrowheads="1"/>
              <a:extLst>
                <a:ext uri="{84589F7E-364E-4C9E-8A38-B11213B215E9}">
                  <a14:cameraTool cellRange="revisofirmash" spid="_x0000_s352496"/>
                </a:ext>
              </a:extLst>
            </xdr:cNvPicPr>
          </xdr:nvPicPr>
          <xdr:blipFill>
            <a:blip xmlns:r="http://schemas.openxmlformats.org/officeDocument/2006/relationships" r:embed="rId3"/>
            <a:srcRect/>
            <a:stretch>
              <a:fillRect/>
            </a:stretch>
          </xdr:blipFill>
          <xdr:spPr bwMode="auto">
            <a:xfrm>
              <a:off x="2771775" y="7591426"/>
              <a:ext cx="1514475" cy="4000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29</xdr:row>
          <xdr:rowOff>19051</xdr:rowOff>
        </xdr:from>
        <xdr:to>
          <xdr:col>10</xdr:col>
          <xdr:colOff>352425</xdr:colOff>
          <xdr:row>29</xdr:row>
          <xdr:rowOff>457201</xdr:rowOff>
        </xdr:to>
        <xdr:pic>
          <xdr:nvPicPr>
            <xdr:cNvPr id="8" name="Imagen 3">
              <a:extLst>
                <a:ext uri="{FF2B5EF4-FFF2-40B4-BE49-F238E27FC236}">
                  <a16:creationId xmlns:a16="http://schemas.microsoft.com/office/drawing/2014/main" id="{1ACAC11E-187D-4DF9-8252-210D3674503F}"/>
                </a:ext>
              </a:extLst>
            </xdr:cNvPr>
            <xdr:cNvPicPr>
              <a:picLocks noChangeAspect="1" noChangeArrowheads="1"/>
              <a:extLst>
                <a:ext uri="{84589F7E-364E-4C9E-8A38-B11213B215E9}">
                  <a14:cameraTool cellRange="aprobofirmash" spid="_x0000_s352497"/>
                </a:ext>
              </a:extLst>
            </xdr:cNvPicPr>
          </xdr:nvPicPr>
          <xdr:blipFill>
            <a:blip xmlns:r="http://schemas.openxmlformats.org/officeDocument/2006/relationships" r:embed="rId4"/>
            <a:srcRect/>
            <a:stretch>
              <a:fillRect/>
            </a:stretch>
          </xdr:blipFill>
          <xdr:spPr bwMode="auto">
            <a:xfrm>
              <a:off x="4514850" y="7562851"/>
              <a:ext cx="1514475" cy="4381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361950</xdr:colOff>
      <xdr:row>0</xdr:row>
      <xdr:rowOff>0</xdr:rowOff>
    </xdr:to>
    <xdr:graphicFrame macro="">
      <xdr:nvGraphicFramePr>
        <xdr:cNvPr id="2" name="Gráfico 1">
          <a:extLst>
            <a:ext uri="{FF2B5EF4-FFF2-40B4-BE49-F238E27FC236}">
              <a16:creationId xmlns:a16="http://schemas.microsoft.com/office/drawing/2014/main" id="{F8C1C4A1-9587-4CC4-844C-9612BB5AFA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142875</xdr:colOff>
      <xdr:row>0</xdr:row>
      <xdr:rowOff>0</xdr:rowOff>
    </xdr:from>
    <xdr:to>
      <xdr:col>7</xdr:col>
      <xdr:colOff>142875</xdr:colOff>
      <xdr:row>0</xdr:row>
      <xdr:rowOff>0</xdr:rowOff>
    </xdr:to>
    <xdr:sp macro="" textlink="">
      <xdr:nvSpPr>
        <xdr:cNvPr id="3" name="Line 2">
          <a:extLst>
            <a:ext uri="{FF2B5EF4-FFF2-40B4-BE49-F238E27FC236}">
              <a16:creationId xmlns:a16="http://schemas.microsoft.com/office/drawing/2014/main" id="{AAF6404C-61E1-427D-A4D4-FD3470E20039}"/>
            </a:ext>
          </a:extLst>
        </xdr:cNvPr>
        <xdr:cNvSpPr>
          <a:spLocks noChangeShapeType="1"/>
        </xdr:cNvSpPr>
      </xdr:nvSpPr>
      <xdr:spPr bwMode="auto">
        <a:xfrm>
          <a:off x="1409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171450</xdr:colOff>
      <xdr:row>0</xdr:row>
      <xdr:rowOff>0</xdr:rowOff>
    </xdr:from>
    <xdr:to>
      <xdr:col>16</xdr:col>
      <xdr:colOff>171450</xdr:colOff>
      <xdr:row>0</xdr:row>
      <xdr:rowOff>0</xdr:rowOff>
    </xdr:to>
    <xdr:sp macro="" textlink="">
      <xdr:nvSpPr>
        <xdr:cNvPr id="4" name="Line 3">
          <a:extLst>
            <a:ext uri="{FF2B5EF4-FFF2-40B4-BE49-F238E27FC236}">
              <a16:creationId xmlns:a16="http://schemas.microsoft.com/office/drawing/2014/main" id="{66C36AFE-AEF2-4A9B-9F7B-8E900BD5D187}"/>
            </a:ext>
          </a:extLst>
        </xdr:cNvPr>
        <xdr:cNvSpPr>
          <a:spLocks noChangeShapeType="1"/>
        </xdr:cNvSpPr>
      </xdr:nvSpPr>
      <xdr:spPr bwMode="auto">
        <a:xfrm>
          <a:off x="291465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47625</xdr:colOff>
      <xdr:row>0</xdr:row>
      <xdr:rowOff>0</xdr:rowOff>
    </xdr:from>
    <xdr:to>
      <xdr:col>6</xdr:col>
      <xdr:colOff>47625</xdr:colOff>
      <xdr:row>0</xdr:row>
      <xdr:rowOff>0</xdr:rowOff>
    </xdr:to>
    <xdr:sp macro="" textlink="">
      <xdr:nvSpPr>
        <xdr:cNvPr id="5" name="Line 4">
          <a:extLst>
            <a:ext uri="{FF2B5EF4-FFF2-40B4-BE49-F238E27FC236}">
              <a16:creationId xmlns:a16="http://schemas.microsoft.com/office/drawing/2014/main" id="{AD889025-546B-4367-838C-7CB7D4D946EF}"/>
            </a:ext>
          </a:extLst>
        </xdr:cNvPr>
        <xdr:cNvSpPr>
          <a:spLocks noChangeShapeType="1"/>
        </xdr:cNvSpPr>
      </xdr:nvSpPr>
      <xdr:spPr bwMode="auto">
        <a:xfrm>
          <a:off x="113347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76200</xdr:colOff>
      <xdr:row>0</xdr:row>
      <xdr:rowOff>0</xdr:rowOff>
    </xdr:from>
    <xdr:to>
      <xdr:col>6</xdr:col>
      <xdr:colOff>76200</xdr:colOff>
      <xdr:row>0</xdr:row>
      <xdr:rowOff>0</xdr:rowOff>
    </xdr:to>
    <xdr:sp macro="" textlink="">
      <xdr:nvSpPr>
        <xdr:cNvPr id="6" name="Line 5">
          <a:extLst>
            <a:ext uri="{FF2B5EF4-FFF2-40B4-BE49-F238E27FC236}">
              <a16:creationId xmlns:a16="http://schemas.microsoft.com/office/drawing/2014/main" id="{F03A0035-C849-4EAC-847D-AF54521329F2}"/>
            </a:ext>
          </a:extLst>
        </xdr:cNvPr>
        <xdr:cNvSpPr>
          <a:spLocks noChangeShapeType="1"/>
        </xdr:cNvSpPr>
      </xdr:nvSpPr>
      <xdr:spPr bwMode="auto">
        <a:xfrm>
          <a:off x="116205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28575</xdr:colOff>
      <xdr:row>0</xdr:row>
      <xdr:rowOff>0</xdr:rowOff>
    </xdr:from>
    <xdr:to>
      <xdr:col>11</xdr:col>
      <xdr:colOff>28575</xdr:colOff>
      <xdr:row>0</xdr:row>
      <xdr:rowOff>0</xdr:rowOff>
    </xdr:to>
    <xdr:sp macro="" textlink="">
      <xdr:nvSpPr>
        <xdr:cNvPr id="7" name="Line 6">
          <a:extLst>
            <a:ext uri="{FF2B5EF4-FFF2-40B4-BE49-F238E27FC236}">
              <a16:creationId xmlns:a16="http://schemas.microsoft.com/office/drawing/2014/main" id="{8191459A-F2C5-4081-90E7-D0B0E1E1318F}"/>
            </a:ext>
          </a:extLst>
        </xdr:cNvPr>
        <xdr:cNvSpPr>
          <a:spLocks noChangeShapeType="1"/>
        </xdr:cNvSpPr>
      </xdr:nvSpPr>
      <xdr:spPr bwMode="auto">
        <a:xfrm flipV="1">
          <a:off x="22098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20</xdr:col>
      <xdr:colOff>361950</xdr:colOff>
      <xdr:row>0</xdr:row>
      <xdr:rowOff>0</xdr:rowOff>
    </xdr:to>
    <xdr:graphicFrame macro="">
      <xdr:nvGraphicFramePr>
        <xdr:cNvPr id="8" name="Gráfico 7">
          <a:extLst>
            <a:ext uri="{FF2B5EF4-FFF2-40B4-BE49-F238E27FC236}">
              <a16:creationId xmlns:a16="http://schemas.microsoft.com/office/drawing/2014/main" id="{F2A1A2CA-D19A-46F3-8315-7F8A2C5D3E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142875</xdr:colOff>
      <xdr:row>0</xdr:row>
      <xdr:rowOff>0</xdr:rowOff>
    </xdr:from>
    <xdr:to>
      <xdr:col>7</xdr:col>
      <xdr:colOff>142875</xdr:colOff>
      <xdr:row>0</xdr:row>
      <xdr:rowOff>0</xdr:rowOff>
    </xdr:to>
    <xdr:sp macro="" textlink="">
      <xdr:nvSpPr>
        <xdr:cNvPr id="9" name="Line 10">
          <a:extLst>
            <a:ext uri="{FF2B5EF4-FFF2-40B4-BE49-F238E27FC236}">
              <a16:creationId xmlns:a16="http://schemas.microsoft.com/office/drawing/2014/main" id="{0344D119-395C-4E69-84F8-7FC4643CAE56}"/>
            </a:ext>
          </a:extLst>
        </xdr:cNvPr>
        <xdr:cNvSpPr>
          <a:spLocks noChangeShapeType="1"/>
        </xdr:cNvSpPr>
      </xdr:nvSpPr>
      <xdr:spPr bwMode="auto">
        <a:xfrm>
          <a:off x="14097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171450</xdr:colOff>
      <xdr:row>0</xdr:row>
      <xdr:rowOff>0</xdr:rowOff>
    </xdr:from>
    <xdr:to>
      <xdr:col>16</xdr:col>
      <xdr:colOff>171450</xdr:colOff>
      <xdr:row>0</xdr:row>
      <xdr:rowOff>0</xdr:rowOff>
    </xdr:to>
    <xdr:sp macro="" textlink="">
      <xdr:nvSpPr>
        <xdr:cNvPr id="10" name="Line 11">
          <a:extLst>
            <a:ext uri="{FF2B5EF4-FFF2-40B4-BE49-F238E27FC236}">
              <a16:creationId xmlns:a16="http://schemas.microsoft.com/office/drawing/2014/main" id="{0FBC84E4-FF5C-4177-B2A6-4B26D6241CA8}"/>
            </a:ext>
          </a:extLst>
        </xdr:cNvPr>
        <xdr:cNvSpPr>
          <a:spLocks noChangeShapeType="1"/>
        </xdr:cNvSpPr>
      </xdr:nvSpPr>
      <xdr:spPr bwMode="auto">
        <a:xfrm>
          <a:off x="291465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47625</xdr:colOff>
      <xdr:row>0</xdr:row>
      <xdr:rowOff>0</xdr:rowOff>
    </xdr:from>
    <xdr:to>
      <xdr:col>6</xdr:col>
      <xdr:colOff>47625</xdr:colOff>
      <xdr:row>0</xdr:row>
      <xdr:rowOff>0</xdr:rowOff>
    </xdr:to>
    <xdr:sp macro="" textlink="">
      <xdr:nvSpPr>
        <xdr:cNvPr id="11" name="Line 14">
          <a:extLst>
            <a:ext uri="{FF2B5EF4-FFF2-40B4-BE49-F238E27FC236}">
              <a16:creationId xmlns:a16="http://schemas.microsoft.com/office/drawing/2014/main" id="{0E0DBF4C-906D-4A85-92CA-C07A74046A49}"/>
            </a:ext>
          </a:extLst>
        </xdr:cNvPr>
        <xdr:cNvSpPr>
          <a:spLocks noChangeShapeType="1"/>
        </xdr:cNvSpPr>
      </xdr:nvSpPr>
      <xdr:spPr bwMode="auto">
        <a:xfrm>
          <a:off x="1133475"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76200</xdr:colOff>
      <xdr:row>0</xdr:row>
      <xdr:rowOff>0</xdr:rowOff>
    </xdr:from>
    <xdr:to>
      <xdr:col>6</xdr:col>
      <xdr:colOff>76200</xdr:colOff>
      <xdr:row>0</xdr:row>
      <xdr:rowOff>0</xdr:rowOff>
    </xdr:to>
    <xdr:sp macro="" textlink="">
      <xdr:nvSpPr>
        <xdr:cNvPr id="12" name="Line 15">
          <a:extLst>
            <a:ext uri="{FF2B5EF4-FFF2-40B4-BE49-F238E27FC236}">
              <a16:creationId xmlns:a16="http://schemas.microsoft.com/office/drawing/2014/main" id="{BFBDAC9E-89AE-47A2-AEB3-597BA8B06FD3}"/>
            </a:ext>
          </a:extLst>
        </xdr:cNvPr>
        <xdr:cNvSpPr>
          <a:spLocks noChangeShapeType="1"/>
        </xdr:cNvSpPr>
      </xdr:nvSpPr>
      <xdr:spPr bwMode="auto">
        <a:xfrm>
          <a:off x="116205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28575</xdr:colOff>
      <xdr:row>0</xdr:row>
      <xdr:rowOff>0</xdr:rowOff>
    </xdr:from>
    <xdr:to>
      <xdr:col>11</xdr:col>
      <xdr:colOff>28575</xdr:colOff>
      <xdr:row>0</xdr:row>
      <xdr:rowOff>0</xdr:rowOff>
    </xdr:to>
    <xdr:sp macro="" textlink="">
      <xdr:nvSpPr>
        <xdr:cNvPr id="13" name="Line 17">
          <a:extLst>
            <a:ext uri="{FF2B5EF4-FFF2-40B4-BE49-F238E27FC236}">
              <a16:creationId xmlns:a16="http://schemas.microsoft.com/office/drawing/2014/main" id="{6A163AAB-DB06-4EC4-8BA6-589D76308BE2}"/>
            </a:ext>
          </a:extLst>
        </xdr:cNvPr>
        <xdr:cNvSpPr>
          <a:spLocks noChangeShapeType="1"/>
        </xdr:cNvSpPr>
      </xdr:nvSpPr>
      <xdr:spPr bwMode="auto">
        <a:xfrm flipV="1">
          <a:off x="2209800" y="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38101</xdr:colOff>
      <xdr:row>25</xdr:row>
      <xdr:rowOff>57150</xdr:rowOff>
    </xdr:from>
    <xdr:to>
      <xdr:col>39</xdr:col>
      <xdr:colOff>47625</xdr:colOff>
      <xdr:row>41</xdr:row>
      <xdr:rowOff>57151</xdr:rowOff>
    </xdr:to>
    <xdr:graphicFrame macro="">
      <xdr:nvGraphicFramePr>
        <xdr:cNvPr id="14" name="Gráfico 19">
          <a:extLst>
            <a:ext uri="{FF2B5EF4-FFF2-40B4-BE49-F238E27FC236}">
              <a16:creationId xmlns:a16="http://schemas.microsoft.com/office/drawing/2014/main" id="{0C691797-D7F4-4DD9-BF3E-694AA28D72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0</xdr:col>
      <xdr:colOff>38101</xdr:colOff>
      <xdr:row>25</xdr:row>
      <xdr:rowOff>57150</xdr:rowOff>
    </xdr:from>
    <xdr:to>
      <xdr:col>39</xdr:col>
      <xdr:colOff>47625</xdr:colOff>
      <xdr:row>41</xdr:row>
      <xdr:rowOff>38101</xdr:rowOff>
    </xdr:to>
    <xdr:graphicFrame macro="">
      <xdr:nvGraphicFramePr>
        <xdr:cNvPr id="22" name="Gráfico 19">
          <a:extLst>
            <a:ext uri="{FF2B5EF4-FFF2-40B4-BE49-F238E27FC236}">
              <a16:creationId xmlns:a16="http://schemas.microsoft.com/office/drawing/2014/main" id="{0B256D2B-12B3-42A3-BD1D-E6DD54964F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xdr:from>
      <xdr:col>0</xdr:col>
      <xdr:colOff>38101</xdr:colOff>
      <xdr:row>25</xdr:row>
      <xdr:rowOff>57150</xdr:rowOff>
    </xdr:from>
    <xdr:to>
      <xdr:col>39</xdr:col>
      <xdr:colOff>47625</xdr:colOff>
      <xdr:row>41</xdr:row>
      <xdr:rowOff>19051</xdr:rowOff>
    </xdr:to>
    <xdr:graphicFrame macro="">
      <xdr:nvGraphicFramePr>
        <xdr:cNvPr id="27" name="Gráfico 19">
          <a:extLst>
            <a:ext uri="{FF2B5EF4-FFF2-40B4-BE49-F238E27FC236}">
              <a16:creationId xmlns:a16="http://schemas.microsoft.com/office/drawing/2014/main" id="{3FACA70A-3256-424B-A055-BB9DD6F918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0</xdr:col>
      <xdr:colOff>47625</xdr:colOff>
      <xdr:row>0</xdr:row>
      <xdr:rowOff>66675</xdr:rowOff>
    </xdr:from>
    <xdr:to>
      <xdr:col>8</xdr:col>
      <xdr:colOff>164043</xdr:colOff>
      <xdr:row>4</xdr:row>
      <xdr:rowOff>166575</xdr:rowOff>
    </xdr:to>
    <xdr:pic>
      <xdr:nvPicPr>
        <xdr:cNvPr id="23" name="Imagen 22"/>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7625" y="66675"/>
          <a:ext cx="1926168" cy="900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38</xdr:col>
      <xdr:colOff>134217</xdr:colOff>
      <xdr:row>5</xdr:row>
      <xdr:rowOff>10391</xdr:rowOff>
    </xdr:from>
    <xdr:to>
      <xdr:col>53</xdr:col>
      <xdr:colOff>171450</xdr:colOff>
      <xdr:row>17</xdr:row>
      <xdr:rowOff>35503</xdr:rowOff>
    </xdr:to>
    <xdr:pic>
      <xdr:nvPicPr>
        <xdr:cNvPr id="2" name="Picture 6">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211292" y="1029566"/>
          <a:ext cx="2751858" cy="2234912"/>
        </a:xfrm>
        <a:prstGeom prst="rect">
          <a:avLst/>
        </a:prstGeom>
        <a:noFill/>
        <a:ln w="9525">
          <a:noFill/>
          <a:miter lim="800000"/>
          <a:headEnd/>
          <a:tailEnd/>
        </a:ln>
      </xdr:spPr>
    </xdr:pic>
    <xdr:clientData/>
  </xdr:twoCellAnchor>
  <xdr:twoCellAnchor editAs="oneCell">
    <xdr:from>
      <xdr:col>0</xdr:col>
      <xdr:colOff>76202</xdr:colOff>
      <xdr:row>0</xdr:row>
      <xdr:rowOff>57150</xdr:rowOff>
    </xdr:from>
    <xdr:to>
      <xdr:col>5</xdr:col>
      <xdr:colOff>142876</xdr:colOff>
      <xdr:row>4</xdr:row>
      <xdr:rowOff>114300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76202" y="57150"/>
          <a:ext cx="1133474" cy="857250"/>
        </a:xfrm>
        <a:prstGeom prst="rect">
          <a:avLst/>
        </a:prstGeom>
        <a:noFill/>
        <a:ln w="9525">
          <a:noFill/>
          <a:miter lim="800000"/>
          <a:headEnd/>
          <a:tailEnd/>
        </a:ln>
      </xdr:spPr>
    </xdr:pic>
    <xdr:clientData/>
  </xdr:twoCellAnchor>
  <xdr:twoCellAnchor>
    <xdr:from>
      <xdr:col>39</xdr:col>
      <xdr:colOff>0</xdr:colOff>
      <xdr:row>18</xdr:row>
      <xdr:rowOff>180975</xdr:rowOff>
    </xdr:from>
    <xdr:to>
      <xdr:col>46</xdr:col>
      <xdr:colOff>142875</xdr:colOff>
      <xdr:row>18</xdr:row>
      <xdr:rowOff>180975</xdr:rowOff>
    </xdr:to>
    <xdr:cxnSp macro="">
      <xdr:nvCxnSpPr>
        <xdr:cNvPr id="18" name="Conector recto 17">
          <a:extLst>
            <a:ext uri="{FF2B5EF4-FFF2-40B4-BE49-F238E27FC236}">
              <a16:creationId xmlns:a16="http://schemas.microsoft.com/office/drawing/2014/main" id="{00000000-0008-0000-0900-000012000000}"/>
            </a:ext>
          </a:extLst>
        </xdr:cNvPr>
        <xdr:cNvCxnSpPr/>
      </xdr:nvCxnSpPr>
      <xdr:spPr>
        <a:xfrm>
          <a:off x="7229475" y="3600450"/>
          <a:ext cx="14097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95250</xdr:colOff>
      <xdr:row>36</xdr:row>
      <xdr:rowOff>38100</xdr:rowOff>
    </xdr:from>
    <xdr:to>
      <xdr:col>46</xdr:col>
      <xdr:colOff>150200</xdr:colOff>
      <xdr:row>36</xdr:row>
      <xdr:rowOff>39564</xdr:rowOff>
    </xdr:to>
    <xdr:cxnSp macro="">
      <xdr:nvCxnSpPr>
        <xdr:cNvPr id="21" name="Conector recto 20">
          <a:extLst>
            <a:ext uri="{FF2B5EF4-FFF2-40B4-BE49-F238E27FC236}">
              <a16:creationId xmlns:a16="http://schemas.microsoft.com/office/drawing/2014/main" id="{00000000-0008-0000-0900-000015000000}"/>
            </a:ext>
          </a:extLst>
        </xdr:cNvPr>
        <xdr:cNvCxnSpPr/>
      </xdr:nvCxnSpPr>
      <xdr:spPr>
        <a:xfrm flipV="1">
          <a:off x="6943725" y="6724650"/>
          <a:ext cx="1683725" cy="146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219075</xdr:colOff>
      <xdr:row>42</xdr:row>
      <xdr:rowOff>0</xdr:rowOff>
    </xdr:from>
    <xdr:to>
      <xdr:col>10</xdr:col>
      <xdr:colOff>84393</xdr:colOff>
      <xdr:row>42</xdr:row>
      <xdr:rowOff>0</xdr:rowOff>
    </xdr:to>
    <xdr:cxnSp macro="">
      <xdr:nvCxnSpPr>
        <xdr:cNvPr id="22" name="Conector recto 13">
          <a:extLst>
            <a:ext uri="{FF2B5EF4-FFF2-40B4-BE49-F238E27FC236}">
              <a16:creationId xmlns:a16="http://schemas.microsoft.com/office/drawing/2014/main" id="{00000000-0008-0000-0900-000016000000}"/>
            </a:ext>
          </a:extLst>
        </xdr:cNvPr>
        <xdr:cNvCxnSpPr/>
      </xdr:nvCxnSpPr>
      <xdr:spPr>
        <a:xfrm>
          <a:off x="1476375" y="862965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42</xdr:row>
      <xdr:rowOff>0</xdr:rowOff>
    </xdr:from>
    <xdr:to>
      <xdr:col>22</xdr:col>
      <xdr:colOff>103443</xdr:colOff>
      <xdr:row>42</xdr:row>
      <xdr:rowOff>0</xdr:rowOff>
    </xdr:to>
    <xdr:cxnSp macro="">
      <xdr:nvCxnSpPr>
        <xdr:cNvPr id="23" name="Conector recto 13">
          <a:extLst>
            <a:ext uri="{FF2B5EF4-FFF2-40B4-BE49-F238E27FC236}">
              <a16:creationId xmlns:a16="http://schemas.microsoft.com/office/drawing/2014/main" id="{00000000-0008-0000-0900-000017000000}"/>
            </a:ext>
          </a:extLst>
        </xdr:cNvPr>
        <xdr:cNvCxnSpPr/>
      </xdr:nvCxnSpPr>
      <xdr:spPr>
        <a:xfrm>
          <a:off x="3248025" y="862965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123825</xdr:colOff>
      <xdr:row>42</xdr:row>
      <xdr:rowOff>0</xdr:rowOff>
    </xdr:from>
    <xdr:to>
      <xdr:col>33</xdr:col>
      <xdr:colOff>112968</xdr:colOff>
      <xdr:row>42</xdr:row>
      <xdr:rowOff>0</xdr:rowOff>
    </xdr:to>
    <xdr:cxnSp macro="">
      <xdr:nvCxnSpPr>
        <xdr:cNvPr id="24" name="Conector recto 13">
          <a:extLst>
            <a:ext uri="{FF2B5EF4-FFF2-40B4-BE49-F238E27FC236}">
              <a16:creationId xmlns:a16="http://schemas.microsoft.com/office/drawing/2014/main" id="{00000000-0008-0000-0900-000018000000}"/>
            </a:ext>
          </a:extLst>
        </xdr:cNvPr>
        <xdr:cNvCxnSpPr/>
      </xdr:nvCxnSpPr>
      <xdr:spPr>
        <a:xfrm>
          <a:off x="4943475" y="862965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12</xdr:col>
          <xdr:colOff>28575</xdr:colOff>
          <xdr:row>41</xdr:row>
          <xdr:rowOff>9525</xdr:rowOff>
        </xdr:from>
        <xdr:to>
          <xdr:col>23</xdr:col>
          <xdr:colOff>171450</xdr:colOff>
          <xdr:row>41</xdr:row>
          <xdr:rowOff>457200</xdr:rowOff>
        </xdr:to>
        <xdr:pic>
          <xdr:nvPicPr>
            <xdr:cNvPr id="8218" name="Picture 26">
              <a:extLst>
                <a:ext uri="{FF2B5EF4-FFF2-40B4-BE49-F238E27FC236}">
                  <a16:creationId xmlns:a16="http://schemas.microsoft.com/office/drawing/2014/main" id="{00000000-0008-0000-0900-00001A200000}"/>
                </a:ext>
              </a:extLst>
            </xdr:cNvPr>
            <xdr:cNvPicPr>
              <a:picLocks noChangeAspect="1"/>
              <a:extLst>
                <a:ext uri="{84589F7E-364E-4C9E-8A38-B11213B215E9}">
                  <a14:cameraTool cellRange="revisofirmas10" spid="_x0000_s176589"/>
                </a:ext>
              </a:extLst>
            </xdr:cNvPicPr>
          </xdr:nvPicPr>
          <xdr:blipFill>
            <a:blip xmlns:r="http://schemas.openxmlformats.org/officeDocument/2006/relationships" r:embed="rId3"/>
            <a:srcRect/>
            <a:stretch>
              <a:fillRect/>
            </a:stretch>
          </xdr:blipFill>
          <xdr:spPr bwMode="auto">
            <a:xfrm>
              <a:off x="3114675" y="8181975"/>
              <a:ext cx="1733550" cy="4476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41</xdr:row>
          <xdr:rowOff>19050</xdr:rowOff>
        </xdr:from>
        <xdr:to>
          <xdr:col>34</xdr:col>
          <xdr:colOff>76200</xdr:colOff>
          <xdr:row>41</xdr:row>
          <xdr:rowOff>466725</xdr:rowOff>
        </xdr:to>
        <xdr:pic>
          <xdr:nvPicPr>
            <xdr:cNvPr id="8219" name="Picture 27">
              <a:extLst>
                <a:ext uri="{FF2B5EF4-FFF2-40B4-BE49-F238E27FC236}">
                  <a16:creationId xmlns:a16="http://schemas.microsoft.com/office/drawing/2014/main" id="{00000000-0008-0000-0900-00001B200000}"/>
                </a:ext>
              </a:extLst>
            </xdr:cNvPr>
            <xdr:cNvPicPr>
              <a:picLocks noChangeAspect="1"/>
              <a:extLst>
                <a:ext uri="{84589F7E-364E-4C9E-8A38-B11213B215E9}">
                  <a14:cameraTool cellRange="aprobofirmas10" spid="_x0000_s176590"/>
                </a:ext>
              </a:extLst>
            </xdr:cNvPicPr>
          </xdr:nvPicPr>
          <xdr:blipFill>
            <a:blip xmlns:r="http://schemas.openxmlformats.org/officeDocument/2006/relationships" r:embed="rId4"/>
            <a:srcRect/>
            <a:stretch>
              <a:fillRect/>
            </a:stretch>
          </xdr:blipFill>
          <xdr:spPr bwMode="auto">
            <a:xfrm>
              <a:off x="4905375" y="8191500"/>
              <a:ext cx="1609725" cy="44767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41</xdr:row>
          <xdr:rowOff>19050</xdr:rowOff>
        </xdr:from>
        <xdr:to>
          <xdr:col>12</xdr:col>
          <xdr:colOff>9525</xdr:colOff>
          <xdr:row>42</xdr:row>
          <xdr:rowOff>0</xdr:rowOff>
        </xdr:to>
        <xdr:pic>
          <xdr:nvPicPr>
            <xdr:cNvPr id="8220" name="Picture 28">
              <a:extLst>
                <a:ext uri="{FF2B5EF4-FFF2-40B4-BE49-F238E27FC236}">
                  <a16:creationId xmlns:a16="http://schemas.microsoft.com/office/drawing/2014/main" id="{00000000-0008-0000-0900-00001C200000}"/>
                </a:ext>
              </a:extLst>
            </xdr:cNvPr>
            <xdr:cNvPicPr>
              <a:picLocks noChangeAspect="1"/>
              <a:extLst>
                <a:ext uri="{84589F7E-364E-4C9E-8A38-B11213B215E9}">
                  <a14:cameraTool cellRange="elaborofirmas10" spid="_x0000_s176591"/>
                </a:ext>
              </a:extLst>
            </xdr:cNvPicPr>
          </xdr:nvPicPr>
          <xdr:blipFill>
            <a:blip xmlns:r="http://schemas.openxmlformats.org/officeDocument/2006/relationships" r:embed="rId5"/>
            <a:srcRect/>
            <a:stretch>
              <a:fillRect/>
            </a:stretch>
          </xdr:blipFill>
          <xdr:spPr bwMode="auto">
            <a:xfrm>
              <a:off x="1304925" y="8191500"/>
              <a:ext cx="1762125" cy="4572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114299</xdr:colOff>
      <xdr:row>0</xdr:row>
      <xdr:rowOff>38101</xdr:rowOff>
    </xdr:from>
    <xdr:to>
      <xdr:col>9</xdr:col>
      <xdr:colOff>73171</xdr:colOff>
      <xdr:row>4</xdr:row>
      <xdr:rowOff>161925</xdr:rowOff>
    </xdr:to>
    <xdr:pic>
      <xdr:nvPicPr>
        <xdr:cNvPr id="18" name="Imagen 2">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1" cstate="print"/>
        <a:srcRect/>
        <a:stretch>
          <a:fillRect/>
        </a:stretch>
      </xdr:blipFill>
      <xdr:spPr bwMode="auto">
        <a:xfrm>
          <a:off x="114299" y="38101"/>
          <a:ext cx="1159022" cy="885824"/>
        </a:xfrm>
        <a:prstGeom prst="rect">
          <a:avLst/>
        </a:prstGeom>
        <a:noFill/>
        <a:ln w="9525">
          <a:noFill/>
          <a:miter lim="800000"/>
          <a:headEnd/>
          <a:tailEnd/>
        </a:ln>
      </xdr:spPr>
    </xdr:pic>
    <xdr:clientData/>
  </xdr:twoCellAnchor>
  <xdr:twoCellAnchor>
    <xdr:from>
      <xdr:col>11</xdr:col>
      <xdr:colOff>114300</xdr:colOff>
      <xdr:row>28</xdr:row>
      <xdr:rowOff>0</xdr:rowOff>
    </xdr:from>
    <xdr:to>
      <xdr:col>21</xdr:col>
      <xdr:colOff>36768</xdr:colOff>
      <xdr:row>28</xdr:row>
      <xdr:rowOff>0</xdr:rowOff>
    </xdr:to>
    <xdr:cxnSp macro="">
      <xdr:nvCxnSpPr>
        <xdr:cNvPr id="7" name="Conector recto 13">
          <a:extLst>
            <a:ext uri="{FF2B5EF4-FFF2-40B4-BE49-F238E27FC236}">
              <a16:creationId xmlns:a16="http://schemas.microsoft.com/office/drawing/2014/main" id="{00000000-0008-0000-0A00-000007000000}"/>
            </a:ext>
          </a:extLst>
        </xdr:cNvPr>
        <xdr:cNvCxnSpPr/>
      </xdr:nvCxnSpPr>
      <xdr:spPr>
        <a:xfrm>
          <a:off x="1581150" y="832485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114300</xdr:colOff>
      <xdr:row>28</xdr:row>
      <xdr:rowOff>0</xdr:rowOff>
    </xdr:from>
    <xdr:to>
      <xdr:col>34</xdr:col>
      <xdr:colOff>8193</xdr:colOff>
      <xdr:row>28</xdr:row>
      <xdr:rowOff>0</xdr:rowOff>
    </xdr:to>
    <xdr:cxnSp macro="">
      <xdr:nvCxnSpPr>
        <xdr:cNvPr id="8" name="Conector recto 13">
          <a:extLst>
            <a:ext uri="{FF2B5EF4-FFF2-40B4-BE49-F238E27FC236}">
              <a16:creationId xmlns:a16="http://schemas.microsoft.com/office/drawing/2014/main" id="{00000000-0008-0000-0A00-000008000000}"/>
            </a:ext>
          </a:extLst>
        </xdr:cNvPr>
        <xdr:cNvCxnSpPr/>
      </xdr:nvCxnSpPr>
      <xdr:spPr>
        <a:xfrm>
          <a:off x="3238500" y="832485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104775</xdr:colOff>
      <xdr:row>28</xdr:row>
      <xdr:rowOff>0</xdr:rowOff>
    </xdr:from>
    <xdr:to>
      <xdr:col>46</xdr:col>
      <xdr:colOff>122493</xdr:colOff>
      <xdr:row>28</xdr:row>
      <xdr:rowOff>0</xdr:rowOff>
    </xdr:to>
    <xdr:cxnSp macro="">
      <xdr:nvCxnSpPr>
        <xdr:cNvPr id="9" name="Conector recto 13">
          <a:extLst>
            <a:ext uri="{FF2B5EF4-FFF2-40B4-BE49-F238E27FC236}">
              <a16:creationId xmlns:a16="http://schemas.microsoft.com/office/drawing/2014/main" id="{00000000-0008-0000-0A00-000009000000}"/>
            </a:ext>
          </a:extLst>
        </xdr:cNvPr>
        <xdr:cNvCxnSpPr/>
      </xdr:nvCxnSpPr>
      <xdr:spPr>
        <a:xfrm>
          <a:off x="4905375" y="832485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22</xdr:col>
          <xdr:colOff>0</xdr:colOff>
          <xdr:row>27</xdr:row>
          <xdr:rowOff>19050</xdr:rowOff>
        </xdr:from>
        <xdr:to>
          <xdr:col>35</xdr:col>
          <xdr:colOff>123825</xdr:colOff>
          <xdr:row>27</xdr:row>
          <xdr:rowOff>561975</xdr:rowOff>
        </xdr:to>
        <xdr:pic>
          <xdr:nvPicPr>
            <xdr:cNvPr id="26628" name="Picture 4">
              <a:extLst>
                <a:ext uri="{FF2B5EF4-FFF2-40B4-BE49-F238E27FC236}">
                  <a16:creationId xmlns:a16="http://schemas.microsoft.com/office/drawing/2014/main" id="{00000000-0008-0000-0A00-000004680000}"/>
                </a:ext>
              </a:extLst>
            </xdr:cNvPr>
            <xdr:cNvPicPr>
              <a:picLocks noChangeAspect="1"/>
              <a:extLst>
                <a:ext uri="{84589F7E-364E-4C9E-8A38-B11213B215E9}">
                  <a14:cameraTool cellRange="revisofirmas11" spid="_x0000_s226739"/>
                </a:ext>
              </a:extLst>
            </xdr:cNvPicPr>
          </xdr:nvPicPr>
          <xdr:blipFill>
            <a:blip xmlns:r="http://schemas.openxmlformats.org/officeDocument/2006/relationships" r:embed="rId2"/>
            <a:srcRect/>
            <a:stretch>
              <a:fillRect/>
            </a:stretch>
          </xdr:blipFill>
          <xdr:spPr bwMode="auto">
            <a:xfrm>
              <a:off x="3124200" y="7210425"/>
              <a:ext cx="1666875" cy="5429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27</xdr:row>
          <xdr:rowOff>38100</xdr:rowOff>
        </xdr:from>
        <xdr:to>
          <xdr:col>47</xdr:col>
          <xdr:colOff>114300</xdr:colOff>
          <xdr:row>27</xdr:row>
          <xdr:rowOff>552450</xdr:rowOff>
        </xdr:to>
        <xdr:pic>
          <xdr:nvPicPr>
            <xdr:cNvPr id="26629" name="Picture 5">
              <a:extLst>
                <a:ext uri="{FF2B5EF4-FFF2-40B4-BE49-F238E27FC236}">
                  <a16:creationId xmlns:a16="http://schemas.microsoft.com/office/drawing/2014/main" id="{00000000-0008-0000-0A00-000005680000}"/>
                </a:ext>
              </a:extLst>
            </xdr:cNvPr>
            <xdr:cNvPicPr>
              <a:picLocks noChangeAspect="1"/>
              <a:extLst>
                <a:ext uri="{84589F7E-364E-4C9E-8A38-B11213B215E9}">
                  <a14:cameraTool cellRange="aprobofirmas11" spid="_x0000_s226740"/>
                </a:ext>
              </a:extLst>
            </xdr:cNvPicPr>
          </xdr:nvPicPr>
          <xdr:blipFill>
            <a:blip xmlns:r="http://schemas.openxmlformats.org/officeDocument/2006/relationships" r:embed="rId3"/>
            <a:srcRect/>
            <a:stretch>
              <a:fillRect/>
            </a:stretch>
          </xdr:blipFill>
          <xdr:spPr bwMode="auto">
            <a:xfrm>
              <a:off x="4800600" y="7229475"/>
              <a:ext cx="1638300" cy="5143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19050</xdr:rowOff>
        </xdr:from>
        <xdr:to>
          <xdr:col>21</xdr:col>
          <xdr:colOff>142875</xdr:colOff>
          <xdr:row>27</xdr:row>
          <xdr:rowOff>533400</xdr:rowOff>
        </xdr:to>
        <xdr:pic>
          <xdr:nvPicPr>
            <xdr:cNvPr id="26630" name="Picture 6">
              <a:extLst>
                <a:ext uri="{FF2B5EF4-FFF2-40B4-BE49-F238E27FC236}">
                  <a16:creationId xmlns:a16="http://schemas.microsoft.com/office/drawing/2014/main" id="{00000000-0008-0000-0A00-000006680000}"/>
                </a:ext>
              </a:extLst>
            </xdr:cNvPr>
            <xdr:cNvPicPr>
              <a:picLocks noChangeAspect="1"/>
              <a:extLst>
                <a:ext uri="{84589F7E-364E-4C9E-8A38-B11213B215E9}">
                  <a14:cameraTool cellRange="elaborofirmas11" spid="_x0000_s226741"/>
                </a:ext>
              </a:extLst>
            </xdr:cNvPicPr>
          </xdr:nvPicPr>
          <xdr:blipFill>
            <a:blip xmlns:r="http://schemas.openxmlformats.org/officeDocument/2006/relationships" r:embed="rId4"/>
            <a:srcRect/>
            <a:stretch>
              <a:fillRect/>
            </a:stretch>
          </xdr:blipFill>
          <xdr:spPr bwMode="auto">
            <a:xfrm>
              <a:off x="1466850" y="7210425"/>
              <a:ext cx="1628775" cy="5143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447675</xdr:colOff>
      <xdr:row>9</xdr:row>
      <xdr:rowOff>104775</xdr:rowOff>
    </xdr:from>
    <xdr:to>
      <xdr:col>8</xdr:col>
      <xdr:colOff>628650</xdr:colOff>
      <xdr:row>25</xdr:row>
      <xdr:rowOff>66675</xdr:rowOff>
    </xdr:to>
    <xdr:graphicFrame macro="">
      <xdr:nvGraphicFramePr>
        <xdr:cNvPr id="5" name="8 Gráfico">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569595</xdr:colOff>
      <xdr:row>9</xdr:row>
      <xdr:rowOff>171450</xdr:rowOff>
    </xdr:from>
    <xdr:to>
      <xdr:col>7</xdr:col>
      <xdr:colOff>314324</xdr:colOff>
      <xdr:row>11</xdr:row>
      <xdr:rowOff>38100</xdr:rowOff>
    </xdr:to>
    <xdr:sp macro="" textlink="">
      <xdr:nvSpPr>
        <xdr:cNvPr id="9" name="8 CuadroTexto">
          <a:extLst>
            <a:ext uri="{FF2B5EF4-FFF2-40B4-BE49-F238E27FC236}">
              <a16:creationId xmlns:a16="http://schemas.microsoft.com/office/drawing/2014/main" id="{00000000-0008-0000-0B00-000009000000}"/>
            </a:ext>
          </a:extLst>
        </xdr:cNvPr>
        <xdr:cNvSpPr txBox="1"/>
      </xdr:nvSpPr>
      <xdr:spPr>
        <a:xfrm>
          <a:off x="2484120" y="1752600"/>
          <a:ext cx="1906904" cy="247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CO" sz="900" b="1">
              <a:latin typeface="Arial" panose="020B0604020202020204" pitchFamily="34" charset="0"/>
              <a:cs typeface="Arial" panose="020B0604020202020204" pitchFamily="34" charset="0"/>
            </a:rPr>
            <a:t>CURVAS DE COMPACTACIÓN</a:t>
          </a:r>
        </a:p>
      </xdr:txBody>
    </xdr:sp>
    <xdr:clientData/>
  </xdr:twoCellAnchor>
  <xdr:oneCellAnchor>
    <xdr:from>
      <xdr:col>1</xdr:col>
      <xdr:colOff>538921</xdr:colOff>
      <xdr:row>10</xdr:row>
      <xdr:rowOff>59056</xdr:rowOff>
    </xdr:from>
    <xdr:ext cx="224998" cy="2669028"/>
    <xdr:sp macro="" textlink="">
      <xdr:nvSpPr>
        <xdr:cNvPr id="10" name="9 CuadroTexto">
          <a:extLst>
            <a:ext uri="{FF2B5EF4-FFF2-40B4-BE49-F238E27FC236}">
              <a16:creationId xmlns:a16="http://schemas.microsoft.com/office/drawing/2014/main" id="{00000000-0008-0000-0B00-00000A000000}"/>
            </a:ext>
          </a:extLst>
        </xdr:cNvPr>
        <xdr:cNvSpPr txBox="1"/>
      </xdr:nvSpPr>
      <xdr:spPr>
        <a:xfrm rot="16200000">
          <a:off x="-321144" y="3052721"/>
          <a:ext cx="2669028"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lang="es-CO" sz="900">
              <a:latin typeface="Arial" panose="020B0604020202020204" pitchFamily="34" charset="0"/>
              <a:cs typeface="Arial" panose="020B0604020202020204" pitchFamily="34" charset="0"/>
            </a:rPr>
            <a:t>PESO</a:t>
          </a:r>
          <a:r>
            <a:rPr lang="es-CO" sz="900" baseline="0">
              <a:latin typeface="Arial" panose="020B0604020202020204" pitchFamily="34" charset="0"/>
              <a:cs typeface="Arial" panose="020B0604020202020204" pitchFamily="34" charset="0"/>
            </a:rPr>
            <a:t> UNITARIO (kN/m</a:t>
          </a:r>
          <a:r>
            <a:rPr lang="es-CO" sz="900" baseline="30000">
              <a:latin typeface="Arial" panose="020B0604020202020204" pitchFamily="34" charset="0"/>
              <a:cs typeface="Arial" panose="020B0604020202020204" pitchFamily="34" charset="0"/>
            </a:rPr>
            <a:t>3</a:t>
          </a:r>
          <a:r>
            <a:rPr lang="es-CO" sz="900" baseline="0">
              <a:latin typeface="Arial" panose="020B0604020202020204" pitchFamily="34" charset="0"/>
              <a:cs typeface="Arial" panose="020B0604020202020204" pitchFamily="34" charset="0"/>
            </a:rPr>
            <a:t>)</a:t>
          </a:r>
          <a:endParaRPr lang="es-CO" sz="900">
            <a:latin typeface="Arial" panose="020B0604020202020204" pitchFamily="34" charset="0"/>
            <a:cs typeface="Arial" panose="020B0604020202020204" pitchFamily="34" charset="0"/>
          </a:endParaRPr>
        </a:p>
      </xdr:txBody>
    </xdr:sp>
    <xdr:clientData/>
  </xdr:oneCellAnchor>
  <xdr:oneCellAnchor>
    <xdr:from>
      <xdr:col>3</xdr:col>
      <xdr:colOff>95250</xdr:colOff>
      <xdr:row>23</xdr:row>
      <xdr:rowOff>190499</xdr:rowOff>
    </xdr:from>
    <xdr:ext cx="3045721" cy="238125"/>
    <xdr:sp macro="" textlink="">
      <xdr:nvSpPr>
        <xdr:cNvPr id="11" name="10 CuadroTexto">
          <a:extLst>
            <a:ext uri="{FF2B5EF4-FFF2-40B4-BE49-F238E27FC236}">
              <a16:creationId xmlns:a16="http://schemas.microsoft.com/office/drawing/2014/main" id="{00000000-0008-0000-0B00-00000B000000}"/>
            </a:ext>
          </a:extLst>
        </xdr:cNvPr>
        <xdr:cNvSpPr txBox="1"/>
      </xdr:nvSpPr>
      <xdr:spPr>
        <a:xfrm>
          <a:off x="1343025" y="4438649"/>
          <a:ext cx="3045721"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s-CO" sz="900">
              <a:latin typeface="Arial" panose="020B0604020202020204" pitchFamily="34" charset="0"/>
              <a:cs typeface="Arial" panose="020B0604020202020204" pitchFamily="34" charset="0"/>
            </a:rPr>
            <a:t>% HUMEDAD</a:t>
          </a:r>
        </a:p>
      </xdr:txBody>
    </xdr:sp>
    <xdr:clientData/>
  </xdr:oneCellAnchor>
  <xdr:twoCellAnchor editAs="oneCell">
    <xdr:from>
      <xdr:col>0</xdr:col>
      <xdr:colOff>114300</xdr:colOff>
      <xdr:row>0</xdr:row>
      <xdr:rowOff>76201</xdr:rowOff>
    </xdr:from>
    <xdr:to>
      <xdr:col>1</xdr:col>
      <xdr:colOff>581025</xdr:colOff>
      <xdr:row>4</xdr:row>
      <xdr:rowOff>104776</xdr:rowOff>
    </xdr:to>
    <xdr:pic>
      <xdr:nvPicPr>
        <xdr:cNvPr id="16" name="Imagen 2">
          <a:extLst>
            <a:ext uri="{FF2B5EF4-FFF2-40B4-BE49-F238E27FC236}">
              <a16:creationId xmlns:a16="http://schemas.microsoft.com/office/drawing/2014/main" id="{00000000-0008-0000-0B00-000010000000}"/>
            </a:ext>
          </a:extLst>
        </xdr:cNvPr>
        <xdr:cNvPicPr>
          <a:picLocks noChangeAspect="1"/>
        </xdr:cNvPicPr>
      </xdr:nvPicPr>
      <xdr:blipFill>
        <a:blip xmlns:r="http://schemas.openxmlformats.org/officeDocument/2006/relationships" r:embed="rId2" cstate="print"/>
        <a:srcRect/>
        <a:stretch>
          <a:fillRect/>
        </a:stretch>
      </xdr:blipFill>
      <xdr:spPr bwMode="auto">
        <a:xfrm>
          <a:off x="114300" y="76201"/>
          <a:ext cx="1200150" cy="762000"/>
        </a:xfrm>
        <a:prstGeom prst="rect">
          <a:avLst/>
        </a:prstGeom>
        <a:noFill/>
        <a:ln w="9525">
          <a:noFill/>
          <a:miter lim="800000"/>
          <a:headEnd/>
          <a:tailEnd/>
        </a:ln>
      </xdr:spPr>
    </xdr:pic>
    <xdr:clientData/>
  </xdr:twoCellAnchor>
  <xdr:twoCellAnchor>
    <xdr:from>
      <xdr:col>2</xdr:col>
      <xdr:colOff>114300</xdr:colOff>
      <xdr:row>41</xdr:row>
      <xdr:rowOff>0</xdr:rowOff>
    </xdr:from>
    <xdr:to>
      <xdr:col>4</xdr:col>
      <xdr:colOff>503493</xdr:colOff>
      <xdr:row>41</xdr:row>
      <xdr:rowOff>0</xdr:rowOff>
    </xdr:to>
    <xdr:cxnSp macro="">
      <xdr:nvCxnSpPr>
        <xdr:cNvPr id="22" name="Conector recto 13">
          <a:extLst>
            <a:ext uri="{FF2B5EF4-FFF2-40B4-BE49-F238E27FC236}">
              <a16:creationId xmlns:a16="http://schemas.microsoft.com/office/drawing/2014/main" id="{00000000-0008-0000-0B00-000016000000}"/>
            </a:ext>
          </a:extLst>
        </xdr:cNvPr>
        <xdr:cNvCxnSpPr/>
      </xdr:nvCxnSpPr>
      <xdr:spPr>
        <a:xfrm>
          <a:off x="1571625" y="843915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171450</xdr:colOff>
      <xdr:row>41</xdr:row>
      <xdr:rowOff>0</xdr:rowOff>
    </xdr:from>
    <xdr:to>
      <xdr:col>7</xdr:col>
      <xdr:colOff>646368</xdr:colOff>
      <xdr:row>41</xdr:row>
      <xdr:rowOff>0</xdr:rowOff>
    </xdr:to>
    <xdr:cxnSp macro="">
      <xdr:nvCxnSpPr>
        <xdr:cNvPr id="23" name="Conector recto 13">
          <a:extLst>
            <a:ext uri="{FF2B5EF4-FFF2-40B4-BE49-F238E27FC236}">
              <a16:creationId xmlns:a16="http://schemas.microsoft.com/office/drawing/2014/main" id="{00000000-0008-0000-0B00-000017000000}"/>
            </a:ext>
          </a:extLst>
        </xdr:cNvPr>
        <xdr:cNvCxnSpPr/>
      </xdr:nvCxnSpPr>
      <xdr:spPr>
        <a:xfrm>
          <a:off x="3305175" y="843915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152400</xdr:colOff>
      <xdr:row>41</xdr:row>
      <xdr:rowOff>0</xdr:rowOff>
    </xdr:from>
    <xdr:to>
      <xdr:col>10</xdr:col>
      <xdr:colOff>93918</xdr:colOff>
      <xdr:row>41</xdr:row>
      <xdr:rowOff>0</xdr:rowOff>
    </xdr:to>
    <xdr:cxnSp macro="">
      <xdr:nvCxnSpPr>
        <xdr:cNvPr id="24" name="Conector recto 13">
          <a:extLst>
            <a:ext uri="{FF2B5EF4-FFF2-40B4-BE49-F238E27FC236}">
              <a16:creationId xmlns:a16="http://schemas.microsoft.com/office/drawing/2014/main" id="{00000000-0008-0000-0B00-000018000000}"/>
            </a:ext>
          </a:extLst>
        </xdr:cNvPr>
        <xdr:cNvCxnSpPr/>
      </xdr:nvCxnSpPr>
      <xdr:spPr>
        <a:xfrm>
          <a:off x="4972050" y="843915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19050</xdr:colOff>
          <xdr:row>40</xdr:row>
          <xdr:rowOff>9525</xdr:rowOff>
        </xdr:from>
        <xdr:to>
          <xdr:col>7</xdr:col>
          <xdr:colOff>600075</xdr:colOff>
          <xdr:row>40</xdr:row>
          <xdr:rowOff>485775</xdr:rowOff>
        </xdr:to>
        <xdr:pic>
          <xdr:nvPicPr>
            <xdr:cNvPr id="27650" name="Picture 2">
              <a:extLst>
                <a:ext uri="{FF2B5EF4-FFF2-40B4-BE49-F238E27FC236}">
                  <a16:creationId xmlns:a16="http://schemas.microsoft.com/office/drawing/2014/main" id="{00000000-0008-0000-0B00-0000026C0000}"/>
                </a:ext>
              </a:extLst>
            </xdr:cNvPr>
            <xdr:cNvPicPr>
              <a:picLocks noChangeAspect="1"/>
              <a:extLst>
                <a:ext uri="{84589F7E-364E-4C9E-8A38-B11213B215E9}">
                  <a14:cameraTool cellRange="revisofirmas12" spid="_x0000_s227763"/>
                </a:ext>
              </a:extLst>
            </xdr:cNvPicPr>
          </xdr:nvPicPr>
          <xdr:blipFill>
            <a:blip xmlns:r="http://schemas.openxmlformats.org/officeDocument/2006/relationships" r:embed="rId3"/>
            <a:srcRect/>
            <a:stretch>
              <a:fillRect/>
            </a:stretch>
          </xdr:blipFill>
          <xdr:spPr bwMode="auto">
            <a:xfrm>
              <a:off x="3162300" y="7943850"/>
              <a:ext cx="1657350" cy="4762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40</xdr:row>
          <xdr:rowOff>19050</xdr:rowOff>
        </xdr:from>
        <xdr:to>
          <xdr:col>10</xdr:col>
          <xdr:colOff>180975</xdr:colOff>
          <xdr:row>40</xdr:row>
          <xdr:rowOff>485775</xdr:rowOff>
        </xdr:to>
        <xdr:pic>
          <xdr:nvPicPr>
            <xdr:cNvPr id="27651" name="Picture 3">
              <a:extLst>
                <a:ext uri="{FF2B5EF4-FFF2-40B4-BE49-F238E27FC236}">
                  <a16:creationId xmlns:a16="http://schemas.microsoft.com/office/drawing/2014/main" id="{00000000-0008-0000-0B00-0000036C0000}"/>
                </a:ext>
              </a:extLst>
            </xdr:cNvPr>
            <xdr:cNvPicPr>
              <a:picLocks noChangeAspect="1"/>
              <a:extLst>
                <a:ext uri="{84589F7E-364E-4C9E-8A38-B11213B215E9}">
                  <a14:cameraTool cellRange="aprobofirmas12" spid="_x0000_s227764"/>
                </a:ext>
              </a:extLst>
            </xdr:cNvPicPr>
          </xdr:nvPicPr>
          <xdr:blipFill>
            <a:blip xmlns:r="http://schemas.openxmlformats.org/officeDocument/2006/relationships" r:embed="rId4"/>
            <a:srcRect/>
            <a:stretch>
              <a:fillRect/>
            </a:stretch>
          </xdr:blipFill>
          <xdr:spPr bwMode="auto">
            <a:xfrm>
              <a:off x="4981575" y="7953375"/>
              <a:ext cx="1466850" cy="4667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40</xdr:row>
          <xdr:rowOff>19050</xdr:rowOff>
        </xdr:from>
        <xdr:to>
          <xdr:col>5</xdr:col>
          <xdr:colOff>0</xdr:colOff>
          <xdr:row>40</xdr:row>
          <xdr:rowOff>485775</xdr:rowOff>
        </xdr:to>
        <xdr:pic>
          <xdr:nvPicPr>
            <xdr:cNvPr id="27652" name="Picture 4">
              <a:extLst>
                <a:ext uri="{FF2B5EF4-FFF2-40B4-BE49-F238E27FC236}">
                  <a16:creationId xmlns:a16="http://schemas.microsoft.com/office/drawing/2014/main" id="{00000000-0008-0000-0B00-0000046C0000}"/>
                </a:ext>
              </a:extLst>
            </xdr:cNvPr>
            <xdr:cNvPicPr>
              <a:picLocks noChangeAspect="1"/>
              <a:extLst>
                <a:ext uri="{84589F7E-364E-4C9E-8A38-B11213B215E9}">
                  <a14:cameraTool cellRange="elaborofirmas12" spid="_x0000_s227765"/>
                </a:ext>
              </a:extLst>
            </xdr:cNvPicPr>
          </xdr:nvPicPr>
          <xdr:blipFill>
            <a:blip xmlns:r="http://schemas.openxmlformats.org/officeDocument/2006/relationships" r:embed="rId5"/>
            <a:srcRect/>
            <a:stretch>
              <a:fillRect/>
            </a:stretch>
          </xdr:blipFill>
          <xdr:spPr bwMode="auto">
            <a:xfrm>
              <a:off x="1485900" y="7953375"/>
              <a:ext cx="1657350" cy="4667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36</xdr:col>
      <xdr:colOff>95251</xdr:colOff>
      <xdr:row>30</xdr:row>
      <xdr:rowOff>95250</xdr:rowOff>
    </xdr:from>
    <xdr:to>
      <xdr:col>42</xdr:col>
      <xdr:colOff>800100</xdr:colOff>
      <xdr:row>48</xdr:row>
      <xdr:rowOff>76200</xdr:rowOff>
    </xdr:to>
    <xdr:graphicFrame macro="">
      <xdr:nvGraphicFramePr>
        <xdr:cNvPr id="2" name="Gráfico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3</xdr:col>
      <xdr:colOff>171450</xdr:colOff>
      <xdr:row>57</xdr:row>
      <xdr:rowOff>85725</xdr:rowOff>
    </xdr:from>
    <xdr:to>
      <xdr:col>29</xdr:col>
      <xdr:colOff>133350</xdr:colOff>
      <xdr:row>74</xdr:row>
      <xdr:rowOff>95250</xdr:rowOff>
    </xdr:to>
    <xdr:graphicFrame macro="">
      <xdr:nvGraphicFramePr>
        <xdr:cNvPr id="4" name="Gráfico 4">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37</xdr:col>
      <xdr:colOff>104775</xdr:colOff>
      <xdr:row>9</xdr:row>
      <xdr:rowOff>0</xdr:rowOff>
    </xdr:from>
    <xdr:to>
      <xdr:col>37</xdr:col>
      <xdr:colOff>104775</xdr:colOff>
      <xdr:row>9</xdr:row>
      <xdr:rowOff>161925</xdr:rowOff>
    </xdr:to>
    <xdr:sp macro="" textlink="">
      <xdr:nvSpPr>
        <xdr:cNvPr id="7" name="Rectangle 4">
          <a:extLst>
            <a:ext uri="{FF2B5EF4-FFF2-40B4-BE49-F238E27FC236}">
              <a16:creationId xmlns:a16="http://schemas.microsoft.com/office/drawing/2014/main" id="{00000000-0008-0000-0C00-000007000000}"/>
            </a:ext>
          </a:extLst>
        </xdr:cNvPr>
        <xdr:cNvSpPr>
          <a:spLocks noChangeArrowheads="1"/>
        </xdr:cNvSpPr>
      </xdr:nvSpPr>
      <xdr:spPr bwMode="auto">
        <a:xfrm>
          <a:off x="9810750" y="1590675"/>
          <a:ext cx="0" cy="161925"/>
        </a:xfrm>
        <a:prstGeom prst="rect">
          <a:avLst/>
        </a:prstGeom>
        <a:noFill/>
        <a:ln w="9525">
          <a:noFill/>
          <a:miter lim="800000"/>
          <a:headEnd/>
          <a:tailEnd/>
        </a:ln>
      </xdr:spPr>
    </xdr:sp>
    <xdr:clientData/>
  </xdr:twoCellAnchor>
  <xdr:twoCellAnchor editAs="oneCell">
    <xdr:from>
      <xdr:col>37</xdr:col>
      <xdr:colOff>104775</xdr:colOff>
      <xdr:row>9</xdr:row>
      <xdr:rowOff>0</xdr:rowOff>
    </xdr:from>
    <xdr:to>
      <xdr:col>37</xdr:col>
      <xdr:colOff>104775</xdr:colOff>
      <xdr:row>9</xdr:row>
      <xdr:rowOff>161925</xdr:rowOff>
    </xdr:to>
    <xdr:sp macro="" textlink="">
      <xdr:nvSpPr>
        <xdr:cNvPr id="8" name="Rectangle 5">
          <a:extLst>
            <a:ext uri="{FF2B5EF4-FFF2-40B4-BE49-F238E27FC236}">
              <a16:creationId xmlns:a16="http://schemas.microsoft.com/office/drawing/2014/main" id="{00000000-0008-0000-0C00-000008000000}"/>
            </a:ext>
          </a:extLst>
        </xdr:cNvPr>
        <xdr:cNvSpPr>
          <a:spLocks noChangeArrowheads="1"/>
        </xdr:cNvSpPr>
      </xdr:nvSpPr>
      <xdr:spPr bwMode="auto">
        <a:xfrm>
          <a:off x="9810750" y="1628775"/>
          <a:ext cx="0" cy="161925"/>
        </a:xfrm>
        <a:prstGeom prst="rect">
          <a:avLst/>
        </a:prstGeom>
        <a:noFill/>
        <a:ln w="9525">
          <a:noFill/>
          <a:miter lim="800000"/>
          <a:headEnd/>
          <a:tailEnd/>
        </a:ln>
      </xdr:spPr>
    </xdr:sp>
    <xdr:clientData/>
  </xdr:twoCellAnchor>
  <xdr:twoCellAnchor editAs="oneCell">
    <xdr:from>
      <xdr:col>37</xdr:col>
      <xdr:colOff>104775</xdr:colOff>
      <xdr:row>9</xdr:row>
      <xdr:rowOff>0</xdr:rowOff>
    </xdr:from>
    <xdr:to>
      <xdr:col>37</xdr:col>
      <xdr:colOff>104775</xdr:colOff>
      <xdr:row>9</xdr:row>
      <xdr:rowOff>161925</xdr:rowOff>
    </xdr:to>
    <xdr:sp macro="" textlink="">
      <xdr:nvSpPr>
        <xdr:cNvPr id="9" name="Rectangle 6">
          <a:extLst>
            <a:ext uri="{FF2B5EF4-FFF2-40B4-BE49-F238E27FC236}">
              <a16:creationId xmlns:a16="http://schemas.microsoft.com/office/drawing/2014/main" id="{00000000-0008-0000-0C00-000009000000}"/>
            </a:ext>
          </a:extLst>
        </xdr:cNvPr>
        <xdr:cNvSpPr>
          <a:spLocks noChangeArrowheads="1"/>
        </xdr:cNvSpPr>
      </xdr:nvSpPr>
      <xdr:spPr bwMode="auto">
        <a:xfrm>
          <a:off x="9810750" y="1628775"/>
          <a:ext cx="0" cy="161925"/>
        </a:xfrm>
        <a:prstGeom prst="rect">
          <a:avLst/>
        </a:prstGeom>
        <a:noFill/>
        <a:ln w="9525">
          <a:noFill/>
          <a:miter lim="800000"/>
          <a:headEnd/>
          <a:tailEnd/>
        </a:ln>
      </xdr:spPr>
    </xdr:sp>
    <xdr:clientData/>
  </xdr:twoCellAnchor>
  <xdr:twoCellAnchor editAs="oneCell">
    <xdr:from>
      <xdr:col>51</xdr:col>
      <xdr:colOff>104775</xdr:colOff>
      <xdr:row>6</xdr:row>
      <xdr:rowOff>104775</xdr:rowOff>
    </xdr:from>
    <xdr:to>
      <xdr:col>51</xdr:col>
      <xdr:colOff>104775</xdr:colOff>
      <xdr:row>7</xdr:row>
      <xdr:rowOff>161925</xdr:rowOff>
    </xdr:to>
    <xdr:sp macro="" textlink="">
      <xdr:nvSpPr>
        <xdr:cNvPr id="10" name="Rectangle 2">
          <a:extLst>
            <a:ext uri="{FF2B5EF4-FFF2-40B4-BE49-F238E27FC236}">
              <a16:creationId xmlns:a16="http://schemas.microsoft.com/office/drawing/2014/main" id="{00000000-0008-0000-0C00-00000A000000}"/>
            </a:ext>
          </a:extLst>
        </xdr:cNvPr>
        <xdr:cNvSpPr>
          <a:spLocks noChangeArrowheads="1"/>
        </xdr:cNvSpPr>
      </xdr:nvSpPr>
      <xdr:spPr bwMode="auto">
        <a:xfrm>
          <a:off x="17802225" y="1438275"/>
          <a:ext cx="0" cy="228600"/>
        </a:xfrm>
        <a:prstGeom prst="rect">
          <a:avLst/>
        </a:prstGeom>
        <a:noFill/>
        <a:ln w="9525">
          <a:noFill/>
          <a:miter lim="800000"/>
          <a:headEnd/>
          <a:tailEnd/>
        </a:ln>
      </xdr:spPr>
    </xdr:sp>
    <xdr:clientData/>
  </xdr:twoCellAnchor>
  <xdr:twoCellAnchor editAs="oneCell">
    <xdr:from>
      <xdr:col>51</xdr:col>
      <xdr:colOff>180975</xdr:colOff>
      <xdr:row>6</xdr:row>
      <xdr:rowOff>104775</xdr:rowOff>
    </xdr:from>
    <xdr:to>
      <xdr:col>51</xdr:col>
      <xdr:colOff>180975</xdr:colOff>
      <xdr:row>7</xdr:row>
      <xdr:rowOff>161925</xdr:rowOff>
    </xdr:to>
    <xdr:sp macro="" textlink="">
      <xdr:nvSpPr>
        <xdr:cNvPr id="11" name="Rectangle 3">
          <a:extLst>
            <a:ext uri="{FF2B5EF4-FFF2-40B4-BE49-F238E27FC236}">
              <a16:creationId xmlns:a16="http://schemas.microsoft.com/office/drawing/2014/main" id="{00000000-0008-0000-0C00-00000B000000}"/>
            </a:ext>
          </a:extLst>
        </xdr:cNvPr>
        <xdr:cNvSpPr>
          <a:spLocks noChangeArrowheads="1"/>
        </xdr:cNvSpPr>
      </xdr:nvSpPr>
      <xdr:spPr bwMode="auto">
        <a:xfrm>
          <a:off x="17878425" y="1438275"/>
          <a:ext cx="0" cy="228600"/>
        </a:xfrm>
        <a:prstGeom prst="rect">
          <a:avLst/>
        </a:prstGeom>
        <a:noFill/>
        <a:ln w="9525">
          <a:noFill/>
          <a:miter lim="800000"/>
          <a:headEnd/>
          <a:tailEnd/>
        </a:ln>
      </xdr:spPr>
    </xdr:sp>
    <xdr:clientData/>
  </xdr:twoCellAnchor>
  <xdr:twoCellAnchor editAs="oneCell">
    <xdr:from>
      <xdr:col>44</xdr:col>
      <xdr:colOff>104775</xdr:colOff>
      <xdr:row>9</xdr:row>
      <xdr:rowOff>0</xdr:rowOff>
    </xdr:from>
    <xdr:to>
      <xdr:col>44</xdr:col>
      <xdr:colOff>104775</xdr:colOff>
      <xdr:row>9</xdr:row>
      <xdr:rowOff>161925</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7802225" y="1628775"/>
          <a:ext cx="0" cy="161925"/>
        </a:xfrm>
        <a:prstGeom prst="rect">
          <a:avLst/>
        </a:prstGeom>
        <a:noFill/>
        <a:ln w="9525">
          <a:noFill/>
          <a:miter lim="800000"/>
          <a:headEnd/>
          <a:tailEnd/>
        </a:ln>
      </xdr:spPr>
    </xdr:sp>
    <xdr:clientData/>
  </xdr:twoCellAnchor>
  <xdr:twoCellAnchor editAs="oneCell">
    <xdr:from>
      <xdr:col>51</xdr:col>
      <xdr:colOff>104775</xdr:colOff>
      <xdr:row>6</xdr:row>
      <xdr:rowOff>104775</xdr:rowOff>
    </xdr:from>
    <xdr:to>
      <xdr:col>51</xdr:col>
      <xdr:colOff>104775</xdr:colOff>
      <xdr:row>7</xdr:row>
      <xdr:rowOff>161925</xdr:rowOff>
    </xdr:to>
    <xdr:sp macro="" textlink="">
      <xdr:nvSpPr>
        <xdr:cNvPr id="15" name="Rectangle 2">
          <a:extLst>
            <a:ext uri="{FF2B5EF4-FFF2-40B4-BE49-F238E27FC236}">
              <a16:creationId xmlns:a16="http://schemas.microsoft.com/office/drawing/2014/main" id="{00000000-0008-0000-0C00-00000F000000}"/>
            </a:ext>
          </a:extLst>
        </xdr:cNvPr>
        <xdr:cNvSpPr>
          <a:spLocks noChangeArrowheads="1"/>
        </xdr:cNvSpPr>
      </xdr:nvSpPr>
      <xdr:spPr bwMode="auto">
        <a:xfrm>
          <a:off x="17802225" y="1438275"/>
          <a:ext cx="0" cy="228600"/>
        </a:xfrm>
        <a:prstGeom prst="rect">
          <a:avLst/>
        </a:prstGeom>
        <a:noFill/>
        <a:ln w="9525">
          <a:noFill/>
          <a:miter lim="800000"/>
          <a:headEnd/>
          <a:tailEnd/>
        </a:ln>
      </xdr:spPr>
    </xdr:sp>
    <xdr:clientData/>
  </xdr:twoCellAnchor>
  <xdr:twoCellAnchor editAs="oneCell">
    <xdr:from>
      <xdr:col>51</xdr:col>
      <xdr:colOff>180975</xdr:colOff>
      <xdr:row>6</xdr:row>
      <xdr:rowOff>104775</xdr:rowOff>
    </xdr:from>
    <xdr:to>
      <xdr:col>51</xdr:col>
      <xdr:colOff>180975</xdr:colOff>
      <xdr:row>7</xdr:row>
      <xdr:rowOff>161925</xdr:rowOff>
    </xdr:to>
    <xdr:sp macro="" textlink="">
      <xdr:nvSpPr>
        <xdr:cNvPr id="16" name="Rectangle 3">
          <a:extLst>
            <a:ext uri="{FF2B5EF4-FFF2-40B4-BE49-F238E27FC236}">
              <a16:creationId xmlns:a16="http://schemas.microsoft.com/office/drawing/2014/main" id="{00000000-0008-0000-0C00-000010000000}"/>
            </a:ext>
          </a:extLst>
        </xdr:cNvPr>
        <xdr:cNvSpPr>
          <a:spLocks noChangeArrowheads="1"/>
        </xdr:cNvSpPr>
      </xdr:nvSpPr>
      <xdr:spPr bwMode="auto">
        <a:xfrm>
          <a:off x="17878425" y="1438275"/>
          <a:ext cx="0" cy="228600"/>
        </a:xfrm>
        <a:prstGeom prst="rect">
          <a:avLst/>
        </a:prstGeom>
        <a:noFill/>
        <a:ln w="9525">
          <a:noFill/>
          <a:miter lim="800000"/>
          <a:headEnd/>
          <a:tailEnd/>
        </a:ln>
      </xdr:spPr>
    </xdr:sp>
    <xdr:clientData/>
  </xdr:twoCellAnchor>
  <xdr:twoCellAnchor editAs="oneCell">
    <xdr:from>
      <xdr:col>36</xdr:col>
      <xdr:colOff>133350</xdr:colOff>
      <xdr:row>0</xdr:row>
      <xdr:rowOff>51707</xdr:rowOff>
    </xdr:from>
    <xdr:to>
      <xdr:col>36</xdr:col>
      <xdr:colOff>1200150</xdr:colOff>
      <xdr:row>4</xdr:row>
      <xdr:rowOff>133350</xdr:rowOff>
    </xdr:to>
    <xdr:pic>
      <xdr:nvPicPr>
        <xdr:cNvPr id="17" name="Imagen 18">
          <a:extLst>
            <a:ext uri="{FF2B5EF4-FFF2-40B4-BE49-F238E27FC236}">
              <a16:creationId xmlns:a16="http://schemas.microsoft.com/office/drawing/2014/main" id="{00000000-0008-0000-0C00-000011000000}"/>
            </a:ext>
          </a:extLst>
        </xdr:cNvPr>
        <xdr:cNvPicPr>
          <a:picLocks noChangeAspect="1"/>
        </xdr:cNvPicPr>
      </xdr:nvPicPr>
      <xdr:blipFill>
        <a:blip xmlns:r="http://schemas.openxmlformats.org/officeDocument/2006/relationships" r:embed="rId3" cstate="print"/>
        <a:srcRect/>
        <a:stretch>
          <a:fillRect/>
        </a:stretch>
      </xdr:blipFill>
      <xdr:spPr bwMode="auto">
        <a:xfrm>
          <a:off x="8143875" y="51707"/>
          <a:ext cx="1066800" cy="719818"/>
        </a:xfrm>
        <a:prstGeom prst="rect">
          <a:avLst/>
        </a:prstGeom>
        <a:noFill/>
        <a:ln w="9525">
          <a:noFill/>
          <a:miter lim="800000"/>
          <a:headEnd/>
          <a:tailEnd/>
        </a:ln>
      </xdr:spPr>
    </xdr:pic>
    <xdr:clientData/>
  </xdr:twoCellAnchor>
  <xdr:twoCellAnchor editAs="oneCell">
    <xdr:from>
      <xdr:col>43</xdr:col>
      <xdr:colOff>114301</xdr:colOff>
      <xdr:row>0</xdr:row>
      <xdr:rowOff>66676</xdr:rowOff>
    </xdr:from>
    <xdr:to>
      <xdr:col>44</xdr:col>
      <xdr:colOff>466726</xdr:colOff>
      <xdr:row>4</xdr:row>
      <xdr:rowOff>66675</xdr:rowOff>
    </xdr:to>
    <xdr:pic>
      <xdr:nvPicPr>
        <xdr:cNvPr id="18" name="Imagen 19">
          <a:extLst>
            <a:ext uri="{FF2B5EF4-FFF2-40B4-BE49-F238E27FC236}">
              <a16:creationId xmlns:a16="http://schemas.microsoft.com/office/drawing/2014/main" id="{00000000-0008-0000-0C00-000012000000}"/>
            </a:ext>
          </a:extLst>
        </xdr:cNvPr>
        <xdr:cNvPicPr>
          <a:picLocks noChangeAspect="1"/>
        </xdr:cNvPicPr>
      </xdr:nvPicPr>
      <xdr:blipFill>
        <a:blip xmlns:r="http://schemas.openxmlformats.org/officeDocument/2006/relationships" r:embed="rId3" cstate="print"/>
        <a:srcRect/>
        <a:stretch>
          <a:fillRect/>
        </a:stretch>
      </xdr:blipFill>
      <xdr:spPr bwMode="auto">
        <a:xfrm>
          <a:off x="14639926" y="66676"/>
          <a:ext cx="1238250" cy="638174"/>
        </a:xfrm>
        <a:prstGeom prst="rect">
          <a:avLst/>
        </a:prstGeom>
        <a:noFill/>
        <a:ln w="9525">
          <a:noFill/>
          <a:miter lim="800000"/>
          <a:headEnd/>
          <a:tailEnd/>
        </a:ln>
      </xdr:spPr>
    </xdr:pic>
    <xdr:clientData/>
  </xdr:twoCellAnchor>
  <xdr:twoCellAnchor editAs="oneCell">
    <xdr:from>
      <xdr:col>46</xdr:col>
      <xdr:colOff>96610</xdr:colOff>
      <xdr:row>53</xdr:row>
      <xdr:rowOff>28576</xdr:rowOff>
    </xdr:from>
    <xdr:to>
      <xdr:col>47</xdr:col>
      <xdr:colOff>323850</xdr:colOff>
      <xdr:row>54</xdr:row>
      <xdr:rowOff>75196</xdr:rowOff>
    </xdr:to>
    <xdr:pic>
      <xdr:nvPicPr>
        <xdr:cNvPr id="20" name="Imagen 19">
          <a:extLst>
            <a:ext uri="{FF2B5EF4-FFF2-40B4-BE49-F238E27FC236}">
              <a16:creationId xmlns:a16="http://schemas.microsoft.com/office/drawing/2014/main" id="{00000000-0008-0000-0C00-000014000000}"/>
            </a:ext>
          </a:extLst>
        </xdr:cNvPr>
        <xdr:cNvPicPr>
          <a:picLocks noChangeAspect="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16403410" y="8515351"/>
          <a:ext cx="913040" cy="522870"/>
        </a:xfrm>
        <a:prstGeom prst="rect">
          <a:avLst/>
        </a:prstGeom>
      </xdr:spPr>
    </xdr:pic>
    <xdr:clientData/>
  </xdr:twoCellAnchor>
  <xdr:twoCellAnchor editAs="oneCell">
    <xdr:from>
      <xdr:col>48</xdr:col>
      <xdr:colOff>390524</xdr:colOff>
      <xdr:row>53</xdr:row>
      <xdr:rowOff>114300</xdr:rowOff>
    </xdr:from>
    <xdr:to>
      <xdr:col>49</xdr:col>
      <xdr:colOff>209550</xdr:colOff>
      <xdr:row>54</xdr:row>
      <xdr:rowOff>76200</xdr:rowOff>
    </xdr:to>
    <xdr:pic>
      <xdr:nvPicPr>
        <xdr:cNvPr id="22" name="Imagen 21">
          <a:extLst>
            <a:ext uri="{FF2B5EF4-FFF2-40B4-BE49-F238E27FC236}">
              <a16:creationId xmlns:a16="http://schemas.microsoft.com/office/drawing/2014/main" id="{00000000-0008-0000-0C00-000016000000}"/>
            </a:ext>
          </a:extLst>
        </xdr:cNvPr>
        <xdr:cNvPicPr>
          <a:picLocks noChangeAspect="1"/>
        </xdr:cNvPicPr>
      </xdr:nvPicPr>
      <xdr:blipFill rotWithShape="1">
        <a:blip xmlns:r="http://schemas.openxmlformats.org/officeDocument/2006/relationships" r:embed="rId5" cstate="print">
          <a:clrChange>
            <a:clrFrom>
              <a:srgbClr val="FEFEFE"/>
            </a:clrFrom>
            <a:clrTo>
              <a:srgbClr val="FEFEFE">
                <a:alpha val="0"/>
              </a:srgbClr>
            </a:clrTo>
          </a:clrChange>
          <a:extLst>
            <a:ext uri="{28A0092B-C50C-407E-A947-70E740481C1C}">
              <a14:useLocalDpi xmlns:a14="http://schemas.microsoft.com/office/drawing/2010/main" val="0"/>
            </a:ext>
          </a:extLst>
        </a:blip>
        <a:srcRect l="20591" t="19659" r="19809" b="20051"/>
        <a:stretch/>
      </xdr:blipFill>
      <xdr:spPr>
        <a:xfrm>
          <a:off x="18068924" y="8601075"/>
          <a:ext cx="933451" cy="438150"/>
        </a:xfrm>
        <a:prstGeom prst="rect">
          <a:avLst/>
        </a:prstGeom>
      </xdr:spPr>
    </xdr:pic>
    <xdr:clientData/>
  </xdr:twoCellAnchor>
  <xdr:twoCellAnchor editAs="oneCell">
    <xdr:from>
      <xdr:col>50</xdr:col>
      <xdr:colOff>522514</xdr:colOff>
      <xdr:row>53</xdr:row>
      <xdr:rowOff>104776</xdr:rowOff>
    </xdr:from>
    <xdr:to>
      <xdr:col>51</xdr:col>
      <xdr:colOff>485943</xdr:colOff>
      <xdr:row>54</xdr:row>
      <xdr:rowOff>92529</xdr:rowOff>
    </xdr:to>
    <xdr:pic>
      <xdr:nvPicPr>
        <xdr:cNvPr id="24" name="Imagen 23">
          <a:extLst>
            <a:ext uri="{FF2B5EF4-FFF2-40B4-BE49-F238E27FC236}">
              <a16:creationId xmlns:a16="http://schemas.microsoft.com/office/drawing/2014/main" id="{00000000-0008-0000-0C00-000018000000}"/>
            </a:ext>
          </a:extLst>
        </xdr:cNvPr>
        <xdr:cNvPicPr>
          <a:picLocks noChangeAspect="1"/>
        </xdr:cNvPicPr>
      </xdr:nvPicPr>
      <xdr:blipFill>
        <a:blip xmlns:r="http://schemas.openxmlformats.org/officeDocument/2006/relationships" r:embed="rId6" cstate="print">
          <a:clrChange>
            <a:clrFrom>
              <a:srgbClr val="FEFEFE"/>
            </a:clrFrom>
            <a:clrTo>
              <a:srgbClr val="FEFEFE">
                <a:alpha val="0"/>
              </a:srgbClr>
            </a:clrTo>
          </a:clrChange>
          <a:extLst>
            <a:ext uri="{28A0092B-C50C-407E-A947-70E740481C1C}">
              <a14:useLocalDpi xmlns:a14="http://schemas.microsoft.com/office/drawing/2010/main" val="0"/>
            </a:ext>
          </a:extLst>
        </a:blip>
        <a:stretch>
          <a:fillRect/>
        </a:stretch>
      </xdr:blipFill>
      <xdr:spPr>
        <a:xfrm>
          <a:off x="19820164" y="8591551"/>
          <a:ext cx="544454" cy="464003"/>
        </a:xfrm>
        <a:prstGeom prst="rect">
          <a:avLst/>
        </a:prstGeom>
      </xdr:spPr>
    </xdr:pic>
    <xdr:clientData/>
  </xdr:twoCellAnchor>
  <xdr:twoCellAnchor>
    <xdr:from>
      <xdr:col>37</xdr:col>
      <xdr:colOff>171450</xdr:colOff>
      <xdr:row>54</xdr:row>
      <xdr:rowOff>0</xdr:rowOff>
    </xdr:from>
    <xdr:to>
      <xdr:col>38</xdr:col>
      <xdr:colOff>732093</xdr:colOff>
      <xdr:row>54</xdr:row>
      <xdr:rowOff>0</xdr:rowOff>
    </xdr:to>
    <xdr:cxnSp macro="">
      <xdr:nvCxnSpPr>
        <xdr:cNvPr id="30" name="Conector recto 13">
          <a:extLst>
            <a:ext uri="{FF2B5EF4-FFF2-40B4-BE49-F238E27FC236}">
              <a16:creationId xmlns:a16="http://schemas.microsoft.com/office/drawing/2014/main" id="{00000000-0008-0000-0C00-00001E000000}"/>
            </a:ext>
          </a:extLst>
        </xdr:cNvPr>
        <xdr:cNvCxnSpPr/>
      </xdr:nvCxnSpPr>
      <xdr:spPr>
        <a:xfrm>
          <a:off x="9553575" y="899160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152400</xdr:colOff>
      <xdr:row>54</xdr:row>
      <xdr:rowOff>0</xdr:rowOff>
    </xdr:from>
    <xdr:to>
      <xdr:col>40</xdr:col>
      <xdr:colOff>703518</xdr:colOff>
      <xdr:row>54</xdr:row>
      <xdr:rowOff>0</xdr:rowOff>
    </xdr:to>
    <xdr:cxnSp macro="">
      <xdr:nvCxnSpPr>
        <xdr:cNvPr id="31" name="Conector recto 13">
          <a:extLst>
            <a:ext uri="{FF2B5EF4-FFF2-40B4-BE49-F238E27FC236}">
              <a16:creationId xmlns:a16="http://schemas.microsoft.com/office/drawing/2014/main" id="{00000000-0008-0000-0C00-00001F000000}"/>
            </a:ext>
          </a:extLst>
        </xdr:cNvPr>
        <xdr:cNvCxnSpPr/>
      </xdr:nvCxnSpPr>
      <xdr:spPr>
        <a:xfrm>
          <a:off x="11277600" y="899160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152400</xdr:colOff>
      <xdr:row>54</xdr:row>
      <xdr:rowOff>0</xdr:rowOff>
    </xdr:from>
    <xdr:to>
      <xdr:col>42</xdr:col>
      <xdr:colOff>713043</xdr:colOff>
      <xdr:row>54</xdr:row>
      <xdr:rowOff>0</xdr:rowOff>
    </xdr:to>
    <xdr:cxnSp macro="">
      <xdr:nvCxnSpPr>
        <xdr:cNvPr id="34" name="Conector recto 13">
          <a:extLst>
            <a:ext uri="{FF2B5EF4-FFF2-40B4-BE49-F238E27FC236}">
              <a16:creationId xmlns:a16="http://schemas.microsoft.com/office/drawing/2014/main" id="{00000000-0008-0000-0C00-000022000000}"/>
            </a:ext>
          </a:extLst>
        </xdr:cNvPr>
        <xdr:cNvCxnSpPr/>
      </xdr:nvCxnSpPr>
      <xdr:spPr>
        <a:xfrm>
          <a:off x="12982575" y="8991600"/>
          <a:ext cx="1408368"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76200</xdr:colOff>
      <xdr:row>29</xdr:row>
      <xdr:rowOff>85725</xdr:rowOff>
    </xdr:from>
    <xdr:to>
      <xdr:col>47</xdr:col>
      <xdr:colOff>619125</xdr:colOff>
      <xdr:row>48</xdr:row>
      <xdr:rowOff>114300</xdr:rowOff>
    </xdr:to>
    <xdr:graphicFrame macro="">
      <xdr:nvGraphicFramePr>
        <xdr:cNvPr id="28" name="Gráfico 2">
          <a:extLst>
            <a:ext uri="{FF2B5EF4-FFF2-40B4-BE49-F238E27FC236}">
              <a16:creationId xmlns:a16="http://schemas.microsoft.com/office/drawing/2014/main" id="{00000000-0008-0000-0C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39</xdr:col>
          <xdr:colOff>0</xdr:colOff>
          <xdr:row>53</xdr:row>
          <xdr:rowOff>0</xdr:rowOff>
        </xdr:from>
        <xdr:to>
          <xdr:col>40</xdr:col>
          <xdr:colOff>742950</xdr:colOff>
          <xdr:row>54</xdr:row>
          <xdr:rowOff>0</xdr:rowOff>
        </xdr:to>
        <xdr:pic>
          <xdr:nvPicPr>
            <xdr:cNvPr id="10243" name="Picture 3">
              <a:extLst>
                <a:ext uri="{FF2B5EF4-FFF2-40B4-BE49-F238E27FC236}">
                  <a16:creationId xmlns:a16="http://schemas.microsoft.com/office/drawing/2014/main" id="{00000000-0008-0000-0C00-000003280000}"/>
                </a:ext>
              </a:extLst>
            </xdr:cNvPr>
            <xdr:cNvPicPr>
              <a:picLocks noChangeAspect="1"/>
              <a:extLst>
                <a:ext uri="{84589F7E-364E-4C9E-8A38-B11213B215E9}">
                  <a14:cameraTool cellRange="revisofirmas13" spid="_x0000_s198074"/>
                </a:ext>
              </a:extLst>
            </xdr:cNvPicPr>
          </xdr:nvPicPr>
          <xdr:blipFill>
            <a:blip xmlns:r="http://schemas.openxmlformats.org/officeDocument/2006/relationships" r:embed="rId8"/>
            <a:srcRect/>
            <a:stretch>
              <a:fillRect/>
            </a:stretch>
          </xdr:blipFill>
          <xdr:spPr bwMode="auto">
            <a:xfrm>
              <a:off x="11125200" y="8077200"/>
              <a:ext cx="1695450" cy="47625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53</xdr:row>
          <xdr:rowOff>9525</xdr:rowOff>
        </xdr:from>
        <xdr:to>
          <xdr:col>43</xdr:col>
          <xdr:colOff>66675</xdr:colOff>
          <xdr:row>54</xdr:row>
          <xdr:rowOff>0</xdr:rowOff>
        </xdr:to>
        <xdr:pic>
          <xdr:nvPicPr>
            <xdr:cNvPr id="10244" name="Picture 4">
              <a:extLst>
                <a:ext uri="{FF2B5EF4-FFF2-40B4-BE49-F238E27FC236}">
                  <a16:creationId xmlns:a16="http://schemas.microsoft.com/office/drawing/2014/main" id="{00000000-0008-0000-0C00-000004280000}"/>
                </a:ext>
              </a:extLst>
            </xdr:cNvPr>
            <xdr:cNvPicPr>
              <a:picLocks noChangeAspect="1"/>
              <a:extLst>
                <a:ext uri="{84589F7E-364E-4C9E-8A38-B11213B215E9}">
                  <a14:cameraTool cellRange="aprobofirmas13" spid="_x0000_s198075"/>
                </a:ext>
              </a:extLst>
            </xdr:cNvPicPr>
          </xdr:nvPicPr>
          <xdr:blipFill>
            <a:blip xmlns:r="http://schemas.openxmlformats.org/officeDocument/2006/relationships" r:embed="rId9"/>
            <a:srcRect/>
            <a:stretch>
              <a:fillRect/>
            </a:stretch>
          </xdr:blipFill>
          <xdr:spPr bwMode="auto">
            <a:xfrm>
              <a:off x="12830175" y="8086725"/>
              <a:ext cx="1676400" cy="4667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53</xdr:row>
          <xdr:rowOff>0</xdr:rowOff>
        </xdr:from>
        <xdr:to>
          <xdr:col>38</xdr:col>
          <xdr:colOff>876300</xdr:colOff>
          <xdr:row>53</xdr:row>
          <xdr:rowOff>466725</xdr:rowOff>
        </xdr:to>
        <xdr:pic>
          <xdr:nvPicPr>
            <xdr:cNvPr id="10245" name="Picture 5">
              <a:extLst>
                <a:ext uri="{FF2B5EF4-FFF2-40B4-BE49-F238E27FC236}">
                  <a16:creationId xmlns:a16="http://schemas.microsoft.com/office/drawing/2014/main" id="{00000000-0008-0000-0C00-000005280000}"/>
                </a:ext>
              </a:extLst>
            </xdr:cNvPr>
            <xdr:cNvPicPr>
              <a:picLocks noChangeAspect="1"/>
              <a:extLst>
                <a:ext uri="{84589F7E-364E-4C9E-8A38-B11213B215E9}">
                  <a14:cameraTool cellRange="elaborofirmas13" spid="_x0000_s198076"/>
                </a:ext>
              </a:extLst>
            </xdr:cNvPicPr>
          </xdr:nvPicPr>
          <xdr:blipFill>
            <a:blip xmlns:r="http://schemas.openxmlformats.org/officeDocument/2006/relationships" r:embed="rId10"/>
            <a:srcRect/>
            <a:stretch>
              <a:fillRect/>
            </a:stretch>
          </xdr:blipFill>
          <xdr:spPr bwMode="auto">
            <a:xfrm>
              <a:off x="9382125" y="8077200"/>
              <a:ext cx="1724025" cy="4667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AiuBPMarco9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r-lab-12781\laboratorio\9.%20Acreditacion\Formatos%20Marzo\Agregado%20fino%20(Mensual).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92.168.1.206\Users\Users\sonia.gaviria\Desktop\X.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1.206\Users\CNSG\Para%20revision\CNSG\Nueva%20carpeta\Listo\Documents%20and%20Settings\DIANA%20PAO\Configuraci&#243;n%20local\Archivos%20temporales%20de%20Internet\Content.IE5\S1MFOXQ3\DATOS\Equipos\COSTO%20DE%20PROPIEDA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1.173\Users\Sonia.gaviria\Desktop\CNSG\Nueva%20carpeta\Listo\Documents%20and%20Settings\DIANA%20PAO\Configuraci&#243;n%20local\Archivos%20temporales%20de%20Internet\Content.IE5\S1MFOXQ3\DATOS\Equipos\COSTO%20DE%20PROPIEDA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ervidor\disco%20duro\irina\CLAS-BOG.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CINDY.SASTOQUE\Documents\Laboratorio2\1.Calidad\1.%20Formatos%20de%20informe\7.%20Petreos\Mezcla%20asfaltica\Agregado%20fino\Agregado%20fino%20(Mensu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2.168.1.206\Users\jennifer.arias\Desktop\LABORATORIO\1.%20Calidad\Formatos%20para%20digitar\7.%20Petreos\Mezcla\Agregado%20fino\Agregado%20fino%20(Mensual)M.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CINDY.SASTOQUE\Documents\Laboratorio2\9.%20Acreditacion\1.%20Control%20de%20documentos\2.%20Aprobaciones\Julio\GLAB-FM-005%20V9%20Inf.%20Limite%20liquido,%20plastico%20e%20Indice%20de%20plasticidad.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92.168.1.206\Users\Users\sonia.gaviria\Desktop\Formatos\PRO-L-FM-003%20V.1%20Humedad%20Natural.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CINDY.SASTOQUE\Desktop\Formatos\Contenido%20de%20agua%20(Humeda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IU"/>
      <sheetName val="Program"/>
      <sheetName val="COSTOS"/>
      <sheetName val="EVA"/>
    </sheetNames>
    <sheetDataSet>
      <sheetData sheetId="0" refreshError="1">
        <row r="12">
          <cell r="D12">
            <v>3</v>
          </cell>
        </row>
        <row r="338">
          <cell r="C338" t="str">
            <v>Activos</v>
          </cell>
          <cell r="D338">
            <v>9750</v>
          </cell>
        </row>
        <row r="339">
          <cell r="C339" t="str">
            <v>Direcc.</v>
          </cell>
          <cell r="D339">
            <v>53970</v>
          </cell>
        </row>
        <row r="340">
          <cell r="C340" t="str">
            <v>Admon</v>
          </cell>
          <cell r="D340">
            <v>48583.5</v>
          </cell>
        </row>
        <row r="341">
          <cell r="C341" t="str">
            <v>Topog</v>
          </cell>
          <cell r="D341">
            <v>0</v>
          </cell>
        </row>
        <row r="342">
          <cell r="C342" t="str">
            <v>Taller</v>
          </cell>
          <cell r="D342">
            <v>2898</v>
          </cell>
        </row>
        <row r="343">
          <cell r="C343" t="str">
            <v>Operad.</v>
          </cell>
          <cell r="D343">
            <v>0</v>
          </cell>
        </row>
        <row r="344">
          <cell r="C344" t="str">
            <v>Vigilan.</v>
          </cell>
          <cell r="D344">
            <v>10836</v>
          </cell>
        </row>
        <row r="345">
          <cell r="C345" t="str">
            <v>Prestac</v>
          </cell>
          <cell r="D345">
            <v>66283.875</v>
          </cell>
        </row>
        <row r="346">
          <cell r="C346" t="str">
            <v>Honor</v>
          </cell>
          <cell r="D346">
            <v>6700</v>
          </cell>
        </row>
        <row r="347">
          <cell r="C347" t="str">
            <v>Impues</v>
          </cell>
          <cell r="D347">
            <v>98630.90675611388</v>
          </cell>
        </row>
        <row r="348">
          <cell r="C348" t="str">
            <v>Arrend</v>
          </cell>
          <cell r="D348">
            <v>11295</v>
          </cell>
        </row>
        <row r="349">
          <cell r="C349" t="str">
            <v>Segur</v>
          </cell>
          <cell r="D349">
            <v>30840.71727788596</v>
          </cell>
        </row>
        <row r="350">
          <cell r="C350" t="str">
            <v>Sevic</v>
          </cell>
          <cell r="D350">
            <v>7366.9087499999996</v>
          </cell>
        </row>
        <row r="351">
          <cell r="C351" t="str">
            <v>Legal</v>
          </cell>
          <cell r="D351">
            <v>1.1868038433000001</v>
          </cell>
        </row>
        <row r="352">
          <cell r="C352" t="str">
            <v>Manten</v>
          </cell>
          <cell r="D352">
            <v>1283.2009599999999</v>
          </cell>
        </row>
        <row r="353">
          <cell r="C353" t="str">
            <v>Adecu</v>
          </cell>
          <cell r="D353">
            <v>6090</v>
          </cell>
        </row>
        <row r="354">
          <cell r="C354" t="str">
            <v>Viaje</v>
          </cell>
          <cell r="D354">
            <v>3030</v>
          </cell>
        </row>
        <row r="355">
          <cell r="C355" t="str">
            <v>Divers</v>
          </cell>
          <cell r="D355">
            <v>132161.02532999997</v>
          </cell>
        </row>
        <row r="356">
          <cell r="C356" t="str">
            <v>Financ.</v>
          </cell>
          <cell r="D356">
            <v>360.00599999999997</v>
          </cell>
        </row>
        <row r="357">
          <cell r="C357" t="str">
            <v>Costos</v>
          </cell>
          <cell r="D357">
            <v>68623.484200000006</v>
          </cell>
        </row>
      </sheetData>
      <sheetData sheetId="1" refreshError="1">
        <row r="3">
          <cell r="B3">
            <v>3</v>
          </cell>
        </row>
        <row r="120">
          <cell r="B120">
            <v>608.87199999999996</v>
          </cell>
          <cell r="C120">
            <v>1834.31</v>
          </cell>
          <cell r="D120">
            <v>1512.259</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row>
      </sheetData>
      <sheetData sheetId="2" refreshError="1"/>
      <sheetData sheetId="3" refreshError="1">
        <row r="6">
          <cell r="D6">
            <v>1</v>
          </cell>
          <cell r="E6">
            <v>2</v>
          </cell>
          <cell r="F6">
            <v>3</v>
          </cell>
          <cell r="G6">
            <v>4</v>
          </cell>
          <cell r="H6">
            <v>5</v>
          </cell>
          <cell r="I6">
            <v>6</v>
          </cell>
          <cell r="J6">
            <v>7</v>
          </cell>
          <cell r="K6">
            <v>8</v>
          </cell>
          <cell r="L6">
            <v>9</v>
          </cell>
          <cell r="M6">
            <v>10</v>
          </cell>
          <cell r="N6">
            <v>11</v>
          </cell>
          <cell r="O6">
            <v>12</v>
          </cell>
          <cell r="P6">
            <v>13</v>
          </cell>
          <cell r="Q6">
            <v>14</v>
          </cell>
          <cell r="R6">
            <v>15</v>
          </cell>
          <cell r="S6">
            <v>16</v>
          </cell>
          <cell r="T6">
            <v>17</v>
          </cell>
          <cell r="U6">
            <v>18</v>
          </cell>
          <cell r="V6">
            <v>19</v>
          </cell>
          <cell r="W6">
            <v>20</v>
          </cell>
          <cell r="X6">
            <v>21</v>
          </cell>
          <cell r="Y6">
            <v>22</v>
          </cell>
          <cell r="Z6">
            <v>23</v>
          </cell>
          <cell r="AA6">
            <v>24</v>
          </cell>
          <cell r="AB6">
            <v>25</v>
          </cell>
          <cell r="AC6">
            <v>26</v>
          </cell>
          <cell r="AD6">
            <v>27</v>
          </cell>
        </row>
        <row r="39">
          <cell r="D39">
            <v>1730.192047133291</v>
          </cell>
          <cell r="E39">
            <v>0</v>
          </cell>
          <cell r="F39">
            <v>568.1776190974831</v>
          </cell>
          <cell r="G39">
            <v>1711.712623485239</v>
          </cell>
          <cell r="H39">
            <v>1411.1861246349654</v>
          </cell>
          <cell r="I39">
            <v>288.36534118888187</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-163.02452898987548</v>
          </cell>
        </row>
        <row r="56">
          <cell r="D56">
            <v>-767.6282221604198</v>
          </cell>
          <cell r="E56">
            <v>-974.18899821035302</v>
          </cell>
          <cell r="F56">
            <v>-1650.8315993601529</v>
          </cell>
          <cell r="G56">
            <v>-1128.6689947358216</v>
          </cell>
          <cell r="H56">
            <v>-362.41393413528147</v>
          </cell>
          <cell r="I56">
            <v>0</v>
          </cell>
          <cell r="J56">
            <v>0</v>
          </cell>
          <cell r="K56">
            <v>-0.16814699999999999</v>
          </cell>
          <cell r="L56">
            <v>0</v>
          </cell>
          <cell r="M56">
            <v>-0.61653900000000006</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-4.0400000000000001E-9</v>
          </cell>
        </row>
        <row r="58">
          <cell r="D58">
            <v>962.5638249728712</v>
          </cell>
          <cell r="E58">
            <v>-11.625173237481818</v>
          </cell>
          <cell r="F58">
            <v>-1094.2791535001516</v>
          </cell>
          <cell r="G58">
            <v>-511.23552475073416</v>
          </cell>
          <cell r="H58">
            <v>537.53666574894964</v>
          </cell>
          <cell r="I58">
            <v>825.90200693783152</v>
          </cell>
          <cell r="J58">
            <v>825.90200693783152</v>
          </cell>
          <cell r="K58">
            <v>825.73385993783154</v>
          </cell>
          <cell r="L58">
            <v>825.73385993783154</v>
          </cell>
          <cell r="M58">
            <v>825.11732093783155</v>
          </cell>
          <cell r="N58">
            <v>825.11732093783155</v>
          </cell>
          <cell r="O58">
            <v>825.11732093783155</v>
          </cell>
          <cell r="P58">
            <v>825.11732093783155</v>
          </cell>
          <cell r="Q58">
            <v>825.11732093783155</v>
          </cell>
          <cell r="R58">
            <v>825.11732093783155</v>
          </cell>
          <cell r="S58">
            <v>825.11732093783155</v>
          </cell>
          <cell r="T58">
            <v>825.11732093783155</v>
          </cell>
          <cell r="U58">
            <v>825.11732093783155</v>
          </cell>
          <cell r="V58">
            <v>825.11732093783155</v>
          </cell>
          <cell r="W58">
            <v>825.11732093783155</v>
          </cell>
          <cell r="X58">
            <v>825.11732093783155</v>
          </cell>
          <cell r="Y58">
            <v>825.11732093783155</v>
          </cell>
          <cell r="Z58">
            <v>825.11732093783155</v>
          </cell>
          <cell r="AA58">
            <v>825.11732093783155</v>
          </cell>
          <cell r="AB58">
            <v>825.11732093783155</v>
          </cell>
          <cell r="AC58">
            <v>825.11732093783155</v>
          </cell>
          <cell r="AD58">
            <v>662.09279194391604</v>
          </cell>
        </row>
        <row r="61">
          <cell r="D61">
            <v>962.5638249728712</v>
          </cell>
          <cell r="E61">
            <v>254.53053020849541</v>
          </cell>
          <cell r="F61">
            <v>-292.44877143628497</v>
          </cell>
          <cell r="G61">
            <v>149.81697550795735</v>
          </cell>
          <cell r="H61">
            <v>681.71933634339052</v>
          </cell>
          <cell r="I61">
            <v>825.90200693783152</v>
          </cell>
          <cell r="J61">
            <v>825.90200693783152</v>
          </cell>
          <cell r="K61">
            <v>825.73385993783154</v>
          </cell>
          <cell r="L61">
            <v>825.73385993783154</v>
          </cell>
          <cell r="M61">
            <v>825.11732093783155</v>
          </cell>
          <cell r="N61">
            <v>825.11732093783155</v>
          </cell>
          <cell r="O61">
            <v>825.11732093783155</v>
          </cell>
          <cell r="P61">
            <v>825.11732093783155</v>
          </cell>
          <cell r="Q61">
            <v>825.11732093783155</v>
          </cell>
          <cell r="R61">
            <v>825.11732093783155</v>
          </cell>
          <cell r="S61">
            <v>825.11732093783155</v>
          </cell>
          <cell r="T61">
            <v>825.11732093783155</v>
          </cell>
          <cell r="U61">
            <v>825.11732093783155</v>
          </cell>
          <cell r="V61">
            <v>825.11732093783155</v>
          </cell>
          <cell r="W61">
            <v>825.11732093783155</v>
          </cell>
          <cell r="X61">
            <v>825.11732093783155</v>
          </cell>
          <cell r="Y61">
            <v>825.11732093783155</v>
          </cell>
          <cell r="Z61">
            <v>825.11732093783155</v>
          </cell>
          <cell r="AA61">
            <v>825.11732093783155</v>
          </cell>
          <cell r="AB61">
            <v>825.11732093783155</v>
          </cell>
          <cell r="AC61">
            <v>825.11732093783155</v>
          </cell>
          <cell r="AD61">
            <v>662.09279194391604</v>
          </cell>
        </row>
        <row r="95">
          <cell r="F95">
            <v>412.9</v>
          </cell>
          <cell r="G95">
            <v>367</v>
          </cell>
          <cell r="H95">
            <v>321.10000000000002</v>
          </cell>
          <cell r="I95">
            <v>232</v>
          </cell>
          <cell r="K95">
            <v>3.0149999999999997</v>
          </cell>
        </row>
        <row r="96">
          <cell r="F96">
            <v>404.6</v>
          </cell>
          <cell r="G96">
            <v>358.70000000000005</v>
          </cell>
          <cell r="H96">
            <v>312.8</v>
          </cell>
          <cell r="I96">
            <v>223.7</v>
          </cell>
        </row>
        <row r="97">
          <cell r="F97">
            <v>396.3</v>
          </cell>
          <cell r="G97">
            <v>350.4</v>
          </cell>
          <cell r="H97">
            <v>304.5</v>
          </cell>
          <cell r="I97">
            <v>215.3</v>
          </cell>
        </row>
        <row r="98">
          <cell r="H98">
            <v>5339</v>
          </cell>
          <cell r="I98">
            <v>7.0000000000000007E-2</v>
          </cell>
        </row>
        <row r="99">
          <cell r="F99" t="str">
            <v>Localizacion Dato</v>
          </cell>
          <cell r="H99">
            <v>404.642</v>
          </cell>
          <cell r="I99">
            <v>404.642</v>
          </cell>
        </row>
        <row r="103">
          <cell r="F103">
            <v>30</v>
          </cell>
          <cell r="G103">
            <v>45</v>
          </cell>
          <cell r="H103">
            <v>60</v>
          </cell>
          <cell r="I103">
            <v>90</v>
          </cell>
        </row>
        <row r="104">
          <cell r="F104">
            <v>146.9</v>
          </cell>
          <cell r="G104">
            <v>119.85</v>
          </cell>
          <cell r="H104">
            <v>92.8</v>
          </cell>
          <cell r="I104">
            <v>40.4</v>
          </cell>
        </row>
        <row r="105">
          <cell r="F105">
            <v>412.9</v>
          </cell>
          <cell r="G105">
            <v>367</v>
          </cell>
          <cell r="H105">
            <v>321.10000000000002</v>
          </cell>
          <cell r="I105">
            <v>232</v>
          </cell>
        </row>
        <row r="106">
          <cell r="F106">
            <v>487.4</v>
          </cell>
          <cell r="G106">
            <v>457.25</v>
          </cell>
          <cell r="H106">
            <v>427.1</v>
          </cell>
          <cell r="I106">
            <v>368.5</v>
          </cell>
        </row>
        <row r="109">
          <cell r="G109">
            <v>0</v>
          </cell>
          <cell r="H109">
            <v>3752.1</v>
          </cell>
        </row>
        <row r="110">
          <cell r="G110">
            <v>7.0000000000000007E-2</v>
          </cell>
          <cell r="H110">
            <v>5339</v>
          </cell>
        </row>
        <row r="111">
          <cell r="G111">
            <v>0.1</v>
          </cell>
          <cell r="H111">
            <v>4193.5</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Gradacion "/>
      <sheetName val="Desgaste"/>
      <sheetName val="Microdeval "/>
      <sheetName val="10% De Finos"/>
      <sheetName val=" HUMEDAD"/>
      <sheetName val="HUMEDAD"/>
      <sheetName val="Solidez"/>
      <sheetName val="LIMITES"/>
      <sheetName val="EQUIVALENTE"/>
      <sheetName val="TERRONES DE ARCILLA"/>
      <sheetName val="Lavado tamiz N°200"/>
      <sheetName val="INV 222-13"/>
      <sheetName val="GRAVEDAD"/>
      <sheetName val="COLORIMETRIA"/>
      <sheetName val="CF - IF "/>
      <sheetName val="ANGULARIDAD"/>
      <sheetName val="PROCTOR"/>
      <sheetName val=" CBR 1"/>
      <sheetName val=" CBR (2)"/>
      <sheetName val="firmas"/>
      <sheetName val="Hoja1"/>
      <sheetName val="RESUMEN BG"/>
      <sheetName val="A"/>
    </sheetNames>
    <sheetDataSet>
      <sheetData sheetId="0">
        <row r="46">
          <cell r="G46" t="str">
            <v>--</v>
          </cell>
        </row>
      </sheetData>
      <sheetData sheetId="1">
        <row r="11">
          <cell r="I11" t="str">
            <v/>
          </cell>
        </row>
        <row r="35">
          <cell r="AJ35" t="str">
            <v/>
          </cell>
        </row>
        <row r="36">
          <cell r="AJ36" t="str">
            <v/>
          </cell>
        </row>
        <row r="37">
          <cell r="AJ37" t="str">
            <v/>
          </cell>
        </row>
        <row r="38">
          <cell r="AJ38" t="str">
            <v/>
          </cell>
        </row>
        <row r="39">
          <cell r="AJ39" t="str">
            <v/>
          </cell>
        </row>
        <row r="40">
          <cell r="AJ40" t="str">
            <v/>
          </cell>
        </row>
        <row r="41">
          <cell r="AJ41" t="str">
            <v/>
          </cell>
        </row>
        <row r="42">
          <cell r="AJ42" t="str">
            <v/>
          </cell>
        </row>
        <row r="43">
          <cell r="AJ43" t="str">
            <v/>
          </cell>
        </row>
        <row r="44">
          <cell r="AJ44" t="str">
            <v/>
          </cell>
        </row>
      </sheetData>
      <sheetData sheetId="2">
        <row r="38">
          <cell r="F38" t="str">
            <v>--</v>
          </cell>
        </row>
      </sheetData>
      <sheetData sheetId="3">
        <row r="44">
          <cell r="I44" t="str">
            <v>--</v>
          </cell>
        </row>
      </sheetData>
      <sheetData sheetId="4">
        <row r="23">
          <cell r="D23" t="str">
            <v>--</v>
          </cell>
        </row>
      </sheetData>
      <sheetData sheetId="5"/>
      <sheetData sheetId="6">
        <row r="26">
          <cell r="H26" t="str">
            <v/>
          </cell>
        </row>
      </sheetData>
      <sheetData sheetId="7">
        <row r="27">
          <cell r="U27" t="str">
            <v/>
          </cell>
        </row>
      </sheetData>
      <sheetData sheetId="8">
        <row r="21">
          <cell r="G21" t="str">
            <v/>
          </cell>
        </row>
      </sheetData>
      <sheetData sheetId="9">
        <row r="23">
          <cell r="G23" t="str">
            <v/>
          </cell>
        </row>
      </sheetData>
      <sheetData sheetId="10">
        <row r="21">
          <cell r="J21" t="str">
            <v/>
          </cell>
        </row>
      </sheetData>
      <sheetData sheetId="11">
        <row r="16">
          <cell r="H16" t="str">
            <v/>
          </cell>
        </row>
      </sheetData>
      <sheetData sheetId="12">
        <row r="20">
          <cell r="N20" t="str">
            <v/>
          </cell>
        </row>
      </sheetData>
      <sheetData sheetId="13">
        <row r="30">
          <cell r="U30" t="str">
            <v/>
          </cell>
        </row>
      </sheetData>
      <sheetData sheetId="14">
        <row r="31">
          <cell r="D31" t="str">
            <v>--</v>
          </cell>
        </row>
      </sheetData>
      <sheetData sheetId="15">
        <row r="43">
          <cell r="G43" t="str">
            <v>--</v>
          </cell>
        </row>
      </sheetData>
      <sheetData sheetId="16">
        <row r="29">
          <cell r="L29" t="str">
            <v>--</v>
          </cell>
        </row>
      </sheetData>
      <sheetData sheetId="17">
        <row r="42">
          <cell r="C42" t="str">
            <v>--</v>
          </cell>
        </row>
      </sheetData>
      <sheetData sheetId="18">
        <row r="55">
          <cell r="AL55" t="str">
            <v>--</v>
          </cell>
        </row>
      </sheetData>
      <sheetData sheetId="19">
        <row r="55">
          <cell r="C55" t="str">
            <v>--</v>
          </cell>
        </row>
      </sheetData>
      <sheetData sheetId="20">
        <row r="2">
          <cell r="A2" t="str">
            <v>CHAPARRO CARLOS</v>
          </cell>
        </row>
      </sheetData>
      <sheetData sheetId="21"/>
      <sheetData sheetId="22" refreshError="1"/>
      <sheetData sheetId="2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BG"/>
      <sheetName val="Gradacion "/>
      <sheetName val="Desgaste"/>
      <sheetName val="Microdeval "/>
      <sheetName val="10% De Finos"/>
      <sheetName val="Solidez"/>
      <sheetName val="LIMITES"/>
      <sheetName val="EQUIVALENTE"/>
      <sheetName val="TERRONES DE ARCILLA"/>
      <sheetName val="CF - IF "/>
      <sheetName val="ANGULARIDAD"/>
      <sheetName val="PROCTOR"/>
      <sheetName val=" CBR 1"/>
      <sheetName val=" CBR (2)"/>
      <sheetName val="firmas"/>
      <sheetName val="Hoja1"/>
    </sheetNames>
    <sheetDataSet>
      <sheetData sheetId="0">
        <row r="43">
          <cell r="G43" t="str">
            <v>--</v>
          </cell>
        </row>
      </sheetData>
      <sheetData sheetId="1">
        <row r="9">
          <cell r="AB9">
            <v>0</v>
          </cell>
        </row>
        <row r="14">
          <cell r="A14">
            <v>0</v>
          </cell>
          <cell r="U14">
            <v>0</v>
          </cell>
          <cell r="Y14">
            <v>0</v>
          </cell>
          <cell r="AC14">
            <v>0</v>
          </cell>
        </row>
        <row r="15">
          <cell r="A15">
            <v>0</v>
          </cell>
          <cell r="U15">
            <v>0</v>
          </cell>
          <cell r="Y15">
            <v>0</v>
          </cell>
          <cell r="AC15">
            <v>0</v>
          </cell>
        </row>
        <row r="16">
          <cell r="A16">
            <v>0</v>
          </cell>
          <cell r="U16">
            <v>0</v>
          </cell>
          <cell r="Y16">
            <v>0</v>
          </cell>
          <cell r="AC16">
            <v>0</v>
          </cell>
        </row>
        <row r="17">
          <cell r="A17">
            <v>0</v>
          </cell>
          <cell r="U17">
            <v>0</v>
          </cell>
          <cell r="Y17">
            <v>0</v>
          </cell>
          <cell r="AC17">
            <v>0</v>
          </cell>
        </row>
        <row r="18">
          <cell r="A18">
            <v>0</v>
          </cell>
          <cell r="U18">
            <v>0</v>
          </cell>
          <cell r="Y18">
            <v>0</v>
          </cell>
          <cell r="AC18">
            <v>0</v>
          </cell>
        </row>
        <row r="19">
          <cell r="A19">
            <v>0</v>
          </cell>
          <cell r="U19">
            <v>0</v>
          </cell>
          <cell r="Y19">
            <v>0</v>
          </cell>
          <cell r="AC19">
            <v>0</v>
          </cell>
        </row>
        <row r="20">
          <cell r="A20">
            <v>0</v>
          </cell>
          <cell r="U20">
            <v>0</v>
          </cell>
          <cell r="Y20">
            <v>0</v>
          </cell>
          <cell r="AC20">
            <v>0</v>
          </cell>
        </row>
        <row r="21">
          <cell r="A21">
            <v>0</v>
          </cell>
          <cell r="U21">
            <v>0</v>
          </cell>
          <cell r="Y21">
            <v>0</v>
          </cell>
          <cell r="AC21">
            <v>0</v>
          </cell>
        </row>
        <row r="22">
          <cell r="A22">
            <v>0</v>
          </cell>
          <cell r="U22">
            <v>0</v>
          </cell>
          <cell r="Y22">
            <v>0</v>
          </cell>
          <cell r="AC22">
            <v>0</v>
          </cell>
        </row>
        <row r="23">
          <cell r="A23">
            <v>0</v>
          </cell>
          <cell r="U23">
            <v>0</v>
          </cell>
          <cell r="Y23">
            <v>0</v>
          </cell>
          <cell r="AC23">
            <v>0</v>
          </cell>
        </row>
        <row r="34">
          <cell r="AM34" t="str">
            <v>Limite inferior</v>
          </cell>
          <cell r="AN34" t="str">
            <v>Limite superior</v>
          </cell>
        </row>
      </sheetData>
      <sheetData sheetId="2">
        <row r="38">
          <cell r="F38" t="str">
            <v>--</v>
          </cell>
        </row>
      </sheetData>
      <sheetData sheetId="3">
        <row r="44">
          <cell r="I44" t="str">
            <v>--</v>
          </cell>
        </row>
      </sheetData>
      <sheetData sheetId="4">
        <row r="23">
          <cell r="D23" t="str">
            <v>--</v>
          </cell>
        </row>
      </sheetData>
      <sheetData sheetId="5">
        <row r="47">
          <cell r="H47" t="str">
            <v>--</v>
          </cell>
        </row>
      </sheetData>
      <sheetData sheetId="6">
        <row r="47">
          <cell r="C47" t="str">
            <v>--</v>
          </cell>
        </row>
      </sheetData>
      <sheetData sheetId="7">
        <row r="29">
          <cell r="D29" t="str">
            <v>--</v>
          </cell>
        </row>
      </sheetData>
      <sheetData sheetId="8">
        <row r="27">
          <cell r="C27" t="str">
            <v>--</v>
          </cell>
        </row>
      </sheetData>
      <sheetData sheetId="9">
        <row r="43">
          <cell r="G43" t="str">
            <v>--</v>
          </cell>
        </row>
      </sheetData>
      <sheetData sheetId="10">
        <row r="29">
          <cell r="L29" t="str">
            <v>--</v>
          </cell>
        </row>
      </sheetData>
      <sheetData sheetId="11">
        <row r="42">
          <cell r="C42" t="str">
            <v>--</v>
          </cell>
        </row>
      </sheetData>
      <sheetData sheetId="12">
        <row r="55">
          <cell r="AL55" t="str">
            <v>--</v>
          </cell>
        </row>
      </sheetData>
      <sheetData sheetId="13">
        <row r="55">
          <cell r="C55" t="str">
            <v>--</v>
          </cell>
        </row>
      </sheetData>
      <sheetData sheetId="14">
        <row r="2">
          <cell r="A2" t="str">
            <v>CHAPARRO CARLOS</v>
          </cell>
        </row>
      </sheetData>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
      <sheetName val="Recipiente"/>
      <sheetName val="Guia rec."/>
      <sheetName val="MEZCLAS"/>
      <sheetName val="Módulo1"/>
      <sheetName val="Módulo11"/>
      <sheetName val="2-6"/>
      <sheetName val="LIMITE"/>
      <sheetName val="Hoja1"/>
      <sheetName val="CLAS-BOG"/>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RESUMEN BG"/>
      <sheetName val="Gradacion "/>
      <sheetName val="HUMEDAD "/>
      <sheetName val="Solidez"/>
      <sheetName val="A"/>
      <sheetName val="ANGULARIDAD"/>
      <sheetName val="INV 222-13"/>
      <sheetName val="GRAVEDAD"/>
      <sheetName val="Desgaste"/>
      <sheetName val="Microdeval "/>
      <sheetName val="10% De Finos"/>
      <sheetName val="LIMITES"/>
      <sheetName val="EQUIVALENTE"/>
      <sheetName val="TERRONES DE ARCILLA"/>
      <sheetName val="CF - IF "/>
      <sheetName val="PROCTOR"/>
      <sheetName val=" CBR 1"/>
      <sheetName val=" CBR (2)"/>
      <sheetName val="firmas"/>
      <sheetName val="Hoja1"/>
    </sheetNames>
    <sheetDataSet>
      <sheetData sheetId="0">
        <row r="46">
          <cell r="G46" t="str">
            <v>--</v>
          </cell>
        </row>
      </sheetData>
      <sheetData sheetId="1" refreshError="1"/>
      <sheetData sheetId="2"/>
      <sheetData sheetId="3" refreshError="1"/>
      <sheetData sheetId="4" refreshError="1"/>
      <sheetData sheetId="5" refreshError="1"/>
      <sheetData sheetId="6">
        <row r="29">
          <cell r="L29" t="str">
            <v>--</v>
          </cell>
          <cell r="W29" t="str">
            <v>--</v>
          </cell>
          <cell r="AK29" t="str">
            <v>--</v>
          </cell>
        </row>
        <row r="30">
          <cell r="W30" t="str">
            <v/>
          </cell>
        </row>
      </sheetData>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ACHIARDI LEONARDO</v>
          </cell>
          <cell r="C8">
            <v>8</v>
          </cell>
        </row>
        <row r="9">
          <cell r="A9" t="str">
            <v>OSPINA JUAN GABRIEL</v>
          </cell>
        </row>
        <row r="10">
          <cell r="A10" t="str">
            <v>SUAREZ  WILLIAM</v>
          </cell>
          <cell r="C10">
            <v>9</v>
          </cell>
        </row>
        <row r="11">
          <cell r="A11" t="str">
            <v>YARA FABIAN</v>
          </cell>
        </row>
        <row r="12">
          <cell r="A12" t="str">
            <v>RINCON SATURNINO</v>
          </cell>
          <cell r="C12">
            <v>1</v>
          </cell>
        </row>
        <row r="14">
          <cell r="A14" t="str">
            <v>ALBARRACIN JAIRO</v>
          </cell>
        </row>
        <row r="15">
          <cell r="A15" t="str">
            <v>ALMONACID JIMMY</v>
          </cell>
        </row>
        <row r="16">
          <cell r="A16" t="str">
            <v>CANO LUIS EDUARDO</v>
          </cell>
        </row>
        <row r="17">
          <cell r="A17" t="str">
            <v>GALVIS DANIEL</v>
          </cell>
        </row>
        <row r="18">
          <cell r="A18" t="str">
            <v>GOMEZ LUIS CARLOS</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row>
        <row r="29">
          <cell r="A29" t="str">
            <v>RINCON SATURNINO</v>
          </cell>
        </row>
        <row r="30">
          <cell r="C30">
            <v>1</v>
          </cell>
        </row>
        <row r="31">
          <cell r="A31" t="str">
            <v>--</v>
          </cell>
        </row>
        <row r="33">
          <cell r="A33" t="str">
            <v xml:space="preserve">VARGAS PABLO </v>
          </cell>
        </row>
        <row r="34">
          <cell r="A34" t="str">
            <v>RIVERA MERCY</v>
          </cell>
        </row>
        <row r="35">
          <cell r="A35" t="str">
            <v>--</v>
          </cell>
        </row>
      </sheetData>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RESUMEN BG"/>
      <sheetName val="Gradacion "/>
      <sheetName val="HUMEDAD"/>
      <sheetName val="Solidez"/>
      <sheetName val="ANGULARIDAD"/>
      <sheetName val="INV 222-13"/>
      <sheetName val="GRAVEDAD"/>
      <sheetName val="Desgaste"/>
      <sheetName val="Microdeval "/>
      <sheetName val="10% De Finos"/>
      <sheetName val="LIMITES"/>
      <sheetName val="EQUIVALENTE"/>
      <sheetName val="TERRONES DE ARCILLA"/>
      <sheetName val="CF - IF "/>
      <sheetName val="PROCTOR"/>
      <sheetName val=" CBR 1"/>
      <sheetName val=" CBR (2)"/>
      <sheetName val="firmas"/>
      <sheetName val="Hoja1"/>
    </sheetNames>
    <sheetDataSet>
      <sheetData sheetId="0">
        <row r="45">
          <cell r="G45" t="str">
            <v>--</v>
          </cell>
          <cell r="V45" t="str">
            <v>--</v>
          </cell>
        </row>
      </sheetData>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9">
          <cell r="D29" t="str">
            <v>--</v>
          </cell>
          <cell r="G29" t="str">
            <v>--</v>
          </cell>
          <cell r="J29" t="str">
            <v>--</v>
          </cell>
        </row>
      </sheetData>
      <sheetData sheetId="13" refreshError="1"/>
      <sheetData sheetId="14" refreshError="1"/>
      <sheetData sheetId="15" refreshError="1"/>
      <sheetData sheetId="16" refreshError="1"/>
      <sheetData sheetId="17" refreshError="1"/>
      <sheetData sheetId="18">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MANCILLA EDGAR</v>
          </cell>
          <cell r="C8">
            <v>8</v>
          </cell>
        </row>
        <row r="9">
          <cell r="A9" t="str">
            <v>OSPINA JUAN GABRIEL</v>
          </cell>
        </row>
        <row r="10">
          <cell r="A10" t="str">
            <v>SUAREZ  WILLIAM</v>
          </cell>
          <cell r="C10">
            <v>9</v>
          </cell>
        </row>
        <row r="11">
          <cell r="A11" t="str">
            <v>YARA FABIAN</v>
          </cell>
        </row>
        <row r="12">
          <cell r="A12" t="str">
            <v>RINCON SATURNINO</v>
          </cell>
          <cell r="C12">
            <v>1</v>
          </cell>
        </row>
        <row r="13">
          <cell r="A13" t="str">
            <v>ACHIARDI LEONARDO</v>
          </cell>
        </row>
        <row r="14">
          <cell r="A14" t="str">
            <v>ALBARRACIN JAIRO</v>
          </cell>
        </row>
        <row r="15">
          <cell r="A15" t="str">
            <v>ALMONACID JIMMY</v>
          </cell>
        </row>
        <row r="16">
          <cell r="A16" t="str">
            <v>CANO LUIS EDUARDO</v>
          </cell>
        </row>
        <row r="17">
          <cell r="A17" t="str">
            <v>GALVIS DANIEL</v>
          </cell>
        </row>
        <row r="18">
          <cell r="A18" t="str">
            <v>GOMEZ LUIS CARLOS</v>
          </cell>
        </row>
        <row r="19">
          <cell r="A19" t="str">
            <v>FAJARDO HUGO</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row>
        <row r="29">
          <cell r="A29" t="str">
            <v>ARIAS JEIMY</v>
          </cell>
        </row>
        <row r="30">
          <cell r="A30" t="str">
            <v>RINCON SATURNINO</v>
          </cell>
          <cell r="C30">
            <v>1</v>
          </cell>
        </row>
        <row r="31">
          <cell r="A31" t="str">
            <v>--</v>
          </cell>
        </row>
        <row r="33">
          <cell r="A33" t="str">
            <v>GAVIRIA SONIA</v>
          </cell>
        </row>
        <row r="34">
          <cell r="A34" t="str">
            <v>RIVERA MERCY</v>
          </cell>
        </row>
        <row r="35">
          <cell r="A35" t="str">
            <v>--</v>
          </cell>
        </row>
      </sheetData>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dacion "/>
      <sheetName val="Desgaste"/>
      <sheetName val="Microdeval "/>
      <sheetName val="10% De Finos"/>
      <sheetName val="Solidez"/>
      <sheetName val="Desgaste "/>
      <sheetName val="LIMITES "/>
      <sheetName val="EQUIVALENTE"/>
      <sheetName val="TERRONES DE ARCILLA"/>
      <sheetName val="CF - IF "/>
      <sheetName val="ANGULARIDAD"/>
      <sheetName val="PROCTOR"/>
      <sheetName val=" CBR 1"/>
      <sheetName val=" CBR (2)"/>
      <sheetName val="firmas"/>
      <sheetName val="Hoja1"/>
    </sheetNames>
    <sheetDataSet>
      <sheetData sheetId="0">
        <row r="46">
          <cell r="I46" t="str">
            <v>--</v>
          </cell>
        </row>
      </sheetData>
      <sheetData sheetId="1">
        <row r="38">
          <cell r="F38" t="str">
            <v>--</v>
          </cell>
        </row>
      </sheetData>
      <sheetData sheetId="2">
        <row r="44">
          <cell r="I44" t="str">
            <v>--</v>
          </cell>
        </row>
      </sheetData>
      <sheetData sheetId="3">
        <row r="23">
          <cell r="D23" t="str">
            <v>--</v>
          </cell>
        </row>
      </sheetData>
      <sheetData sheetId="4">
        <row r="47">
          <cell r="H47" t="str">
            <v>--</v>
          </cell>
        </row>
      </sheetData>
      <sheetData sheetId="5">
        <row r="36">
          <cell r="F36" t="str">
            <v>MANCILLA EDGAR</v>
          </cell>
          <cell r="M36" t="str">
            <v>ARIAS JENNIFER</v>
          </cell>
          <cell r="T36" t="str">
            <v>GAVIRIA SONIA</v>
          </cell>
        </row>
      </sheetData>
      <sheetData sheetId="6">
        <row r="40">
          <cell r="L40">
            <v>25</v>
          </cell>
        </row>
      </sheetData>
      <sheetData sheetId="7">
        <row r="29">
          <cell r="D29" t="str">
            <v>--</v>
          </cell>
        </row>
      </sheetData>
      <sheetData sheetId="8">
        <row r="27">
          <cell r="C27" t="str">
            <v>--</v>
          </cell>
        </row>
      </sheetData>
      <sheetData sheetId="9">
        <row r="43">
          <cell r="G43" t="str">
            <v>--</v>
          </cell>
        </row>
      </sheetData>
      <sheetData sheetId="10">
        <row r="29">
          <cell r="L29" t="str">
            <v>--</v>
          </cell>
        </row>
      </sheetData>
      <sheetData sheetId="11">
        <row r="42">
          <cell r="C42" t="str">
            <v>--</v>
          </cell>
        </row>
      </sheetData>
      <sheetData sheetId="12">
        <row r="55">
          <cell r="AL55" t="str">
            <v>--</v>
          </cell>
        </row>
      </sheetData>
      <sheetData sheetId="13">
        <row r="55">
          <cell r="C55" t="str">
            <v>--</v>
          </cell>
        </row>
      </sheetData>
      <sheetData sheetId="14">
        <row r="2">
          <cell r="A2" t="str">
            <v>CHAPARRO CARLOS</v>
          </cell>
          <cell r="C2">
            <v>2</v>
          </cell>
        </row>
        <row r="3">
          <cell r="A3" t="str">
            <v>CORDOBA ALEXANDER</v>
          </cell>
          <cell r="C3">
            <v>3</v>
          </cell>
        </row>
        <row r="4">
          <cell r="A4" t="str">
            <v>CRISTANCHO VICTOR</v>
          </cell>
          <cell r="C4">
            <v>7</v>
          </cell>
        </row>
        <row r="5">
          <cell r="A5" t="str">
            <v>DIAZ CESAR</v>
          </cell>
        </row>
        <row r="6">
          <cell r="A6" t="str">
            <v>FLOREZ KAREN</v>
          </cell>
          <cell r="C6">
            <v>6</v>
          </cell>
        </row>
        <row r="7">
          <cell r="A7" t="str">
            <v>GALVIS DAVID</v>
          </cell>
          <cell r="C7">
            <v>4</v>
          </cell>
        </row>
        <row r="8">
          <cell r="A8" t="str">
            <v>ACHIARDI LEONARDO</v>
          </cell>
          <cell r="C8">
            <v>8</v>
          </cell>
        </row>
        <row r="9">
          <cell r="A9" t="str">
            <v>OSPINA JUAN GABRIEL</v>
          </cell>
        </row>
        <row r="10">
          <cell r="A10" t="str">
            <v>SUAREZ  WILLIAM</v>
          </cell>
          <cell r="C10">
            <v>9</v>
          </cell>
        </row>
        <row r="11">
          <cell r="A11" t="str">
            <v>YARA FABIAN</v>
          </cell>
        </row>
        <row r="12">
          <cell r="A12" t="str">
            <v>RINCON SATURNINO</v>
          </cell>
          <cell r="C12">
            <v>1</v>
          </cell>
        </row>
        <row r="14">
          <cell r="A14" t="str">
            <v>ALBARRACIN JAIRO</v>
          </cell>
        </row>
        <row r="15">
          <cell r="A15" t="str">
            <v>ALMONACID JIMMY</v>
          </cell>
        </row>
        <row r="16">
          <cell r="A16" t="str">
            <v>CANO LUIS EDUARDO</v>
          </cell>
        </row>
        <row r="18">
          <cell r="A18" t="str">
            <v>GOMEZ LUIS CARLOS</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row>
        <row r="29">
          <cell r="A29" t="str">
            <v>RINCON SATURNINO</v>
          </cell>
        </row>
        <row r="30">
          <cell r="C30">
            <v>1</v>
          </cell>
        </row>
        <row r="31">
          <cell r="A31" t="str">
            <v>--</v>
          </cell>
        </row>
        <row r="33">
          <cell r="A33" t="str">
            <v xml:space="preserve">VARGAS PABLO </v>
          </cell>
        </row>
        <row r="34">
          <cell r="A34" t="str">
            <v>RIVERA MERCY</v>
          </cell>
        </row>
        <row r="35">
          <cell r="A35" t="str">
            <v>--</v>
          </cell>
        </row>
      </sheetData>
      <sheetData sheetId="1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
      <sheetName val="Gradacion "/>
      <sheetName val="Desgaste"/>
      <sheetName val="Microdeval "/>
      <sheetName val="10% De Finos"/>
      <sheetName val=" HUMEDAD"/>
      <sheetName val="Solidez"/>
      <sheetName val="LIMITES"/>
      <sheetName val="EQUIVALENTE"/>
      <sheetName val="TERRONES DE ARCILLA"/>
      <sheetName val="Lavado tamiz N°200"/>
      <sheetName val="INV 222-13"/>
      <sheetName val="GRAVEDAD"/>
      <sheetName val="COLORIMETRIA"/>
      <sheetName val="CF - IF "/>
      <sheetName val="ANGULARIDAD"/>
      <sheetName val="PROCTOR"/>
      <sheetName val=" CBR 1"/>
      <sheetName val=" CBR (2)"/>
      <sheetName val="firmas"/>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A2" t="str">
            <v>CHAPARRO CARLOS</v>
          </cell>
        </row>
        <row r="3">
          <cell r="A3" t="str">
            <v>CORDOBA ALEXANDER</v>
          </cell>
        </row>
        <row r="4">
          <cell r="A4" t="str">
            <v>CRISTANCHO VICTOR</v>
          </cell>
        </row>
        <row r="5">
          <cell r="A5" t="str">
            <v>DIAZ CESAR</v>
          </cell>
        </row>
        <row r="6">
          <cell r="A6" t="str">
            <v>FLOREZ KAREN</v>
          </cell>
        </row>
        <row r="7">
          <cell r="A7" t="str">
            <v>GALVIS DAVID</v>
          </cell>
        </row>
        <row r="8">
          <cell r="A8" t="str">
            <v>MANCILLA EDGAR</v>
          </cell>
        </row>
        <row r="9">
          <cell r="A9" t="str">
            <v>OSPINA JUAN GABRIEL</v>
          </cell>
        </row>
        <row r="10">
          <cell r="A10" t="str">
            <v>SUAREZ  WILLIAM</v>
          </cell>
        </row>
        <row r="11">
          <cell r="A11" t="str">
            <v>YARA FABIAN</v>
          </cell>
          <cell r="B11" t="str">
            <v>Laboratorista</v>
          </cell>
        </row>
        <row r="12">
          <cell r="A12" t="str">
            <v>RINCON SATURNINO</v>
          </cell>
          <cell r="B12" t="str">
            <v>Coordinador Operativo</v>
          </cell>
        </row>
        <row r="13">
          <cell r="A13" t="str">
            <v>ACHIARDI LEONARDO</v>
          </cell>
          <cell r="B13" t="str">
            <v>Auxiliar</v>
          </cell>
        </row>
        <row r="14">
          <cell r="A14" t="str">
            <v>ALBARRACIN JAIRO</v>
          </cell>
        </row>
        <row r="15">
          <cell r="A15" t="str">
            <v>ALMONACID JIMMY</v>
          </cell>
        </row>
        <row r="16">
          <cell r="A16" t="str">
            <v>CANO LUIS EDUARDO</v>
          </cell>
        </row>
        <row r="17">
          <cell r="A17" t="str">
            <v>GALVIS DANIEL</v>
          </cell>
        </row>
        <row r="18">
          <cell r="A18" t="str">
            <v>GOMEZ LUIS CARLOS</v>
          </cell>
        </row>
        <row r="19">
          <cell r="A19" t="str">
            <v>FAJARDO HUGO</v>
          </cell>
        </row>
        <row r="20">
          <cell r="A20" t="str">
            <v>PATIÑO MARLON</v>
          </cell>
        </row>
        <row r="21">
          <cell r="A21" t="str">
            <v>PRIETO YULY PAOLA</v>
          </cell>
        </row>
        <row r="22">
          <cell r="A22" t="str">
            <v>SASTOQUE CINDY</v>
          </cell>
        </row>
        <row r="23">
          <cell r="A23" t="str">
            <v>TEUTA DIEGO</v>
          </cell>
        </row>
        <row r="24">
          <cell r="A24" t="str">
            <v>VARGAS RODOLFO</v>
          </cell>
        </row>
        <row r="25">
          <cell r="A25" t="str">
            <v>VILLANUEVA BRAYAN</v>
          </cell>
        </row>
        <row r="26">
          <cell r="A26" t="str">
            <v>--</v>
          </cell>
        </row>
        <row r="28">
          <cell r="A28" t="str">
            <v>ARIAS JENNIFER</v>
          </cell>
          <cell r="B28" t="str">
            <v>Analista  técnico</v>
          </cell>
        </row>
        <row r="29">
          <cell r="A29" t="str">
            <v>ARIAS JEIMY</v>
          </cell>
          <cell r="B29" t="str">
            <v>Analista  administrativo</v>
          </cell>
        </row>
        <row r="30">
          <cell r="A30" t="str">
            <v>RINCON SATURNINO</v>
          </cell>
          <cell r="B30" t="str">
            <v>Coordinador operativo</v>
          </cell>
        </row>
        <row r="31">
          <cell r="A31" t="str">
            <v>--</v>
          </cell>
        </row>
        <row r="33">
          <cell r="A33" t="str">
            <v>GAVIRIA SONIA</v>
          </cell>
          <cell r="B33" t="str">
            <v>Líder del laboratorio</v>
          </cell>
        </row>
        <row r="34">
          <cell r="A34" t="str">
            <v>RIVERA MERCY</v>
          </cell>
          <cell r="B34" t="str">
            <v>Líder de acreditación</v>
          </cell>
        </row>
        <row r="35">
          <cell r="A35" t="str">
            <v>--</v>
          </cell>
        </row>
      </sheetData>
      <sheetData sheetId="2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UMEDAD "/>
      <sheetName val="firmas"/>
    </sheetNames>
    <sheetDataSet>
      <sheetData sheetId="0"/>
      <sheetData sheetId="1">
        <row r="2">
          <cell r="A2" t="str">
            <v>CHAPARRO CARLOS</v>
          </cell>
        </row>
        <row r="28">
          <cell r="A28" t="str">
            <v>ARIAS JENNIFER</v>
          </cell>
        </row>
        <row r="29">
          <cell r="A29" t="str">
            <v>RINCON SATURNINO</v>
          </cell>
        </row>
        <row r="30">
          <cell r="C30">
            <v>1</v>
          </cell>
        </row>
        <row r="31">
          <cell r="A31" t="str">
            <v>--</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BH51"/>
  <sheetViews>
    <sheetView showGridLines="0" view="pageBreakPreview" topLeftCell="A31" zoomScaleSheetLayoutView="100" workbookViewId="0">
      <selection activeCell="L39" sqref="F39:S39"/>
    </sheetView>
  </sheetViews>
  <sheetFormatPr baseColWidth="10" defaultColWidth="2.7109375" defaultRowHeight="12.95" customHeight="1"/>
  <cols>
    <col min="1" max="4" width="4.5703125" style="74" customWidth="1"/>
    <col min="5" max="5" width="2.85546875" style="74" customWidth="1"/>
    <col min="6" max="6" width="7" style="74" customWidth="1"/>
    <col min="7" max="7" width="4.7109375" style="74" customWidth="1"/>
    <col min="8" max="8" width="3.85546875" style="74" customWidth="1"/>
    <col min="9" max="9" width="4" style="74" customWidth="1"/>
    <col min="10" max="10" width="4.140625" style="74" customWidth="1"/>
    <col min="11" max="11" width="2.28515625" style="74" customWidth="1"/>
    <col min="12" max="12" width="3.140625" style="74" customWidth="1"/>
    <col min="13" max="13" width="2.42578125" style="74" customWidth="1"/>
    <col min="14" max="14" width="3.85546875" style="74" customWidth="1"/>
    <col min="15" max="15" width="3.28515625" style="74" customWidth="1"/>
    <col min="16" max="16" width="3.42578125" style="74" customWidth="1"/>
    <col min="17" max="17" width="3" style="74" customWidth="1"/>
    <col min="18" max="18" width="2.7109375" style="74" customWidth="1"/>
    <col min="19" max="19" width="3" style="74" customWidth="1"/>
    <col min="20" max="20" width="3.42578125" style="74" customWidth="1"/>
    <col min="21" max="21" width="4.5703125" style="74" customWidth="1"/>
    <col min="22" max="22" width="5.85546875" style="74" customWidth="1"/>
    <col min="23" max="23" width="3.28515625" style="74" customWidth="1"/>
    <col min="24" max="24" width="3.42578125" style="74" customWidth="1"/>
    <col min="25" max="26" width="2.42578125" style="74" customWidth="1"/>
    <col min="27" max="27" width="2.7109375" style="74"/>
    <col min="28" max="28" width="4" style="74" bestFit="1" customWidth="1"/>
    <col min="29" max="256" width="2.7109375" style="74"/>
    <col min="257" max="282" width="4.5703125" style="74" customWidth="1"/>
    <col min="283" max="512" width="2.7109375" style="74"/>
    <col min="513" max="538" width="4.5703125" style="74" customWidth="1"/>
    <col min="539" max="768" width="2.7109375" style="74"/>
    <col min="769" max="794" width="4.5703125" style="74" customWidth="1"/>
    <col min="795" max="1024" width="2.7109375" style="74"/>
    <col min="1025" max="1050" width="4.5703125" style="74" customWidth="1"/>
    <col min="1051" max="1280" width="2.7109375" style="74"/>
    <col min="1281" max="1306" width="4.5703125" style="74" customWidth="1"/>
    <col min="1307" max="1536" width="2.7109375" style="74"/>
    <col min="1537" max="1562" width="4.5703125" style="74" customWidth="1"/>
    <col min="1563" max="1792" width="2.7109375" style="74"/>
    <col min="1793" max="1818" width="4.5703125" style="74" customWidth="1"/>
    <col min="1819" max="2048" width="2.7109375" style="74"/>
    <col min="2049" max="2074" width="4.5703125" style="74" customWidth="1"/>
    <col min="2075" max="2304" width="2.7109375" style="74"/>
    <col min="2305" max="2330" width="4.5703125" style="74" customWidth="1"/>
    <col min="2331" max="2560" width="2.7109375" style="74"/>
    <col min="2561" max="2586" width="4.5703125" style="74" customWidth="1"/>
    <col min="2587" max="2816" width="2.7109375" style="74"/>
    <col min="2817" max="2842" width="4.5703125" style="74" customWidth="1"/>
    <col min="2843" max="3072" width="2.7109375" style="74"/>
    <col min="3073" max="3098" width="4.5703125" style="74" customWidth="1"/>
    <col min="3099" max="3328" width="2.7109375" style="74"/>
    <col min="3329" max="3354" width="4.5703125" style="74" customWidth="1"/>
    <col min="3355" max="3584" width="2.7109375" style="74"/>
    <col min="3585" max="3610" width="4.5703125" style="74" customWidth="1"/>
    <col min="3611" max="3840" width="2.7109375" style="74"/>
    <col min="3841" max="3866" width="4.5703125" style="74" customWidth="1"/>
    <col min="3867" max="4096" width="2.7109375" style="74"/>
    <col min="4097" max="4122" width="4.5703125" style="74" customWidth="1"/>
    <col min="4123" max="4352" width="2.7109375" style="74"/>
    <col min="4353" max="4378" width="4.5703125" style="74" customWidth="1"/>
    <col min="4379" max="4608" width="2.7109375" style="74"/>
    <col min="4609" max="4634" width="4.5703125" style="74" customWidth="1"/>
    <col min="4635" max="4864" width="2.7109375" style="74"/>
    <col min="4865" max="4890" width="4.5703125" style="74" customWidth="1"/>
    <col min="4891" max="5120" width="2.7109375" style="74"/>
    <col min="5121" max="5146" width="4.5703125" style="74" customWidth="1"/>
    <col min="5147" max="5376" width="2.7109375" style="74"/>
    <col min="5377" max="5402" width="4.5703125" style="74" customWidth="1"/>
    <col min="5403" max="5632" width="2.7109375" style="74"/>
    <col min="5633" max="5658" width="4.5703125" style="74" customWidth="1"/>
    <col min="5659" max="5888" width="2.7109375" style="74"/>
    <col min="5889" max="5914" width="4.5703125" style="74" customWidth="1"/>
    <col min="5915" max="6144" width="2.7109375" style="74"/>
    <col min="6145" max="6170" width="4.5703125" style="74" customWidth="1"/>
    <col min="6171" max="6400" width="2.7109375" style="74"/>
    <col min="6401" max="6426" width="4.5703125" style="74" customWidth="1"/>
    <col min="6427" max="6656" width="2.7109375" style="74"/>
    <col min="6657" max="6682" width="4.5703125" style="74" customWidth="1"/>
    <col min="6683" max="6912" width="2.7109375" style="74"/>
    <col min="6913" max="6938" width="4.5703125" style="74" customWidth="1"/>
    <col min="6939" max="7168" width="2.7109375" style="74"/>
    <col min="7169" max="7194" width="4.5703125" style="74" customWidth="1"/>
    <col min="7195" max="7424" width="2.7109375" style="74"/>
    <col min="7425" max="7450" width="4.5703125" style="74" customWidth="1"/>
    <col min="7451" max="7680" width="2.7109375" style="74"/>
    <col min="7681" max="7706" width="4.5703125" style="74" customWidth="1"/>
    <col min="7707" max="7936" width="2.7109375" style="74"/>
    <col min="7937" max="7962" width="4.5703125" style="74" customWidth="1"/>
    <col min="7963" max="8192" width="2.7109375" style="74"/>
    <col min="8193" max="8218" width="4.5703125" style="74" customWidth="1"/>
    <col min="8219" max="8448" width="2.7109375" style="74"/>
    <col min="8449" max="8474" width="4.5703125" style="74" customWidth="1"/>
    <col min="8475" max="8704" width="2.7109375" style="74"/>
    <col min="8705" max="8730" width="4.5703125" style="74" customWidth="1"/>
    <col min="8731" max="8960" width="2.7109375" style="74"/>
    <col min="8961" max="8986" width="4.5703125" style="74" customWidth="1"/>
    <col min="8987" max="9216" width="2.7109375" style="74"/>
    <col min="9217" max="9242" width="4.5703125" style="74" customWidth="1"/>
    <col min="9243" max="9472" width="2.7109375" style="74"/>
    <col min="9473" max="9498" width="4.5703125" style="74" customWidth="1"/>
    <col min="9499" max="9728" width="2.7109375" style="74"/>
    <col min="9729" max="9754" width="4.5703125" style="74" customWidth="1"/>
    <col min="9755" max="9984" width="2.7109375" style="74"/>
    <col min="9985" max="10010" width="4.5703125" style="74" customWidth="1"/>
    <col min="10011" max="10240" width="2.7109375" style="74"/>
    <col min="10241" max="10266" width="4.5703125" style="74" customWidth="1"/>
    <col min="10267" max="10496" width="2.7109375" style="74"/>
    <col min="10497" max="10522" width="4.5703125" style="74" customWidth="1"/>
    <col min="10523" max="10752" width="2.7109375" style="74"/>
    <col min="10753" max="10778" width="4.5703125" style="74" customWidth="1"/>
    <col min="10779" max="11008" width="2.7109375" style="74"/>
    <col min="11009" max="11034" width="4.5703125" style="74" customWidth="1"/>
    <col min="11035" max="11264" width="2.7109375" style="74"/>
    <col min="11265" max="11290" width="4.5703125" style="74" customWidth="1"/>
    <col min="11291" max="11520" width="2.7109375" style="74"/>
    <col min="11521" max="11546" width="4.5703125" style="74" customWidth="1"/>
    <col min="11547" max="11776" width="2.7109375" style="74"/>
    <col min="11777" max="11802" width="4.5703125" style="74" customWidth="1"/>
    <col min="11803" max="12032" width="2.7109375" style="74"/>
    <col min="12033" max="12058" width="4.5703125" style="74" customWidth="1"/>
    <col min="12059" max="12288" width="2.7109375" style="74"/>
    <col min="12289" max="12314" width="4.5703125" style="74" customWidth="1"/>
    <col min="12315" max="12544" width="2.7109375" style="74"/>
    <col min="12545" max="12570" width="4.5703125" style="74" customWidth="1"/>
    <col min="12571" max="12800" width="2.7109375" style="74"/>
    <col min="12801" max="12826" width="4.5703125" style="74" customWidth="1"/>
    <col min="12827" max="13056" width="2.7109375" style="74"/>
    <col min="13057" max="13082" width="4.5703125" style="74" customWidth="1"/>
    <col min="13083" max="13312" width="2.7109375" style="74"/>
    <col min="13313" max="13338" width="4.5703125" style="74" customWidth="1"/>
    <col min="13339" max="13568" width="2.7109375" style="74"/>
    <col min="13569" max="13594" width="4.5703125" style="74" customWidth="1"/>
    <col min="13595" max="13824" width="2.7109375" style="74"/>
    <col min="13825" max="13850" width="4.5703125" style="74" customWidth="1"/>
    <col min="13851" max="14080" width="2.7109375" style="74"/>
    <col min="14081" max="14106" width="4.5703125" style="74" customWidth="1"/>
    <col min="14107" max="14336" width="2.7109375" style="74"/>
    <col min="14337" max="14362" width="4.5703125" style="74" customWidth="1"/>
    <col min="14363" max="14592" width="2.7109375" style="74"/>
    <col min="14593" max="14618" width="4.5703125" style="74" customWidth="1"/>
    <col min="14619" max="14848" width="2.7109375" style="74"/>
    <col min="14849" max="14874" width="4.5703125" style="74" customWidth="1"/>
    <col min="14875" max="15104" width="2.7109375" style="74"/>
    <col min="15105" max="15130" width="4.5703125" style="74" customWidth="1"/>
    <col min="15131" max="15360" width="2.7109375" style="74"/>
    <col min="15361" max="15386" width="4.5703125" style="74" customWidth="1"/>
    <col min="15387" max="15616" width="2.7109375" style="74"/>
    <col min="15617" max="15642" width="4.5703125" style="74" customWidth="1"/>
    <col min="15643" max="15872" width="2.7109375" style="74"/>
    <col min="15873" max="15898" width="4.5703125" style="74" customWidth="1"/>
    <col min="15899" max="16128" width="2.7109375" style="74"/>
    <col min="16129" max="16154" width="4.5703125" style="74" customWidth="1"/>
    <col min="16155" max="16384" width="2.7109375" style="74"/>
  </cols>
  <sheetData>
    <row r="1" spans="1:57" ht="15" customHeight="1">
      <c r="A1" s="974"/>
      <c r="B1" s="975"/>
      <c r="C1" s="975"/>
      <c r="D1" s="975"/>
      <c r="E1" s="976"/>
      <c r="F1" s="980" t="s">
        <v>28</v>
      </c>
      <c r="G1" s="981"/>
      <c r="H1" s="981"/>
      <c r="I1" s="981"/>
      <c r="J1" s="981"/>
      <c r="K1" s="981"/>
      <c r="L1" s="981"/>
      <c r="M1" s="981"/>
      <c r="N1" s="981"/>
      <c r="O1" s="981"/>
      <c r="P1" s="981"/>
      <c r="Q1" s="981"/>
      <c r="R1" s="981"/>
      <c r="S1" s="981"/>
      <c r="T1" s="981"/>
      <c r="U1" s="981"/>
      <c r="V1" s="981"/>
      <c r="W1" s="981"/>
      <c r="X1" s="981"/>
      <c r="Y1" s="981"/>
      <c r="Z1" s="982"/>
      <c r="AG1" s="75"/>
      <c r="AH1" s="75"/>
      <c r="AI1" s="75"/>
      <c r="AJ1" s="75"/>
      <c r="AK1" s="76"/>
      <c r="AL1" s="76"/>
      <c r="AM1" s="76"/>
      <c r="AN1" s="76"/>
      <c r="AO1" s="76"/>
      <c r="AP1" s="76"/>
      <c r="AQ1" s="76"/>
      <c r="AR1" s="76"/>
      <c r="AS1" s="76"/>
      <c r="AT1" s="76"/>
      <c r="AU1" s="76"/>
      <c r="AV1" s="76"/>
      <c r="AW1" s="76"/>
      <c r="AX1" s="76"/>
      <c r="AY1" s="76"/>
      <c r="AZ1" s="76"/>
      <c r="BA1" s="76"/>
    </row>
    <row r="2" spans="1:57" ht="27.95" customHeight="1">
      <c r="A2" s="977"/>
      <c r="B2" s="978"/>
      <c r="C2" s="978"/>
      <c r="D2" s="978"/>
      <c r="E2" s="979"/>
      <c r="F2" s="983" t="s">
        <v>469</v>
      </c>
      <c r="G2" s="984"/>
      <c r="H2" s="984"/>
      <c r="I2" s="984"/>
      <c r="J2" s="984"/>
      <c r="K2" s="984"/>
      <c r="L2" s="984"/>
      <c r="M2" s="984"/>
      <c r="N2" s="984"/>
      <c r="O2" s="984"/>
      <c r="P2" s="984"/>
      <c r="Q2" s="984"/>
      <c r="R2" s="984"/>
      <c r="S2" s="984"/>
      <c r="T2" s="984"/>
      <c r="U2" s="984"/>
      <c r="V2" s="984"/>
      <c r="W2" s="984"/>
      <c r="X2" s="984"/>
      <c r="Y2" s="984"/>
      <c r="Z2" s="985"/>
      <c r="AG2" s="75"/>
      <c r="AH2" s="75"/>
      <c r="AI2" s="75"/>
      <c r="AJ2" s="75"/>
      <c r="AK2" s="76"/>
      <c r="AL2" s="76"/>
      <c r="AM2" s="76"/>
      <c r="AN2" s="76"/>
      <c r="AO2" s="76"/>
      <c r="AP2" s="76"/>
      <c r="AQ2" s="76"/>
      <c r="AR2" s="76"/>
      <c r="AS2" s="76"/>
      <c r="AT2" s="76"/>
      <c r="AU2" s="76"/>
      <c r="AV2" s="76"/>
      <c r="AW2" s="76"/>
      <c r="AX2" s="76"/>
      <c r="AY2" s="76"/>
      <c r="AZ2" s="76"/>
      <c r="BA2" s="76"/>
    </row>
    <row r="3" spans="1:57" ht="15" customHeight="1">
      <c r="A3" s="977"/>
      <c r="B3" s="978"/>
      <c r="C3" s="978"/>
      <c r="D3" s="978"/>
      <c r="E3" s="979"/>
      <c r="F3" s="986" t="s">
        <v>431</v>
      </c>
      <c r="G3" s="987"/>
      <c r="H3" s="987"/>
      <c r="I3" s="987"/>
      <c r="J3" s="987"/>
      <c r="K3" s="987"/>
      <c r="L3" s="987"/>
      <c r="M3" s="987"/>
      <c r="N3" s="987"/>
      <c r="O3" s="987"/>
      <c r="P3" s="987"/>
      <c r="Q3" s="987"/>
      <c r="R3" s="987"/>
      <c r="S3" s="987"/>
      <c r="T3" s="987"/>
      <c r="U3" s="987"/>
      <c r="V3" s="987"/>
      <c r="W3" s="987"/>
      <c r="X3" s="987"/>
      <c r="Y3" s="987"/>
      <c r="Z3" s="988"/>
      <c r="AG3" s="75"/>
      <c r="AH3" s="75"/>
      <c r="AI3" s="75"/>
      <c r="AJ3" s="75"/>
      <c r="AK3" s="76"/>
      <c r="AL3" s="76"/>
      <c r="AM3" s="76"/>
      <c r="AN3" s="76"/>
      <c r="AO3" s="76"/>
      <c r="AP3" s="76"/>
      <c r="AQ3" s="76"/>
      <c r="AR3" s="76"/>
      <c r="AS3" s="76"/>
      <c r="AT3" s="76"/>
      <c r="AU3" s="76"/>
      <c r="AV3" s="76"/>
      <c r="AW3" s="76"/>
      <c r="AX3" s="76"/>
      <c r="AY3" s="76"/>
      <c r="AZ3" s="76"/>
      <c r="BA3" s="76"/>
    </row>
    <row r="4" spans="1:57" ht="12.95" customHeight="1">
      <c r="A4" s="977"/>
      <c r="B4" s="978"/>
      <c r="C4" s="978"/>
      <c r="D4" s="978"/>
      <c r="E4" s="979"/>
      <c r="F4" s="989" t="s">
        <v>29</v>
      </c>
      <c r="G4" s="990"/>
      <c r="H4" s="990"/>
      <c r="I4" s="990"/>
      <c r="J4" s="990"/>
      <c r="K4" s="990"/>
      <c r="L4" s="990"/>
      <c r="M4" s="990"/>
      <c r="N4" s="990"/>
      <c r="O4" s="990"/>
      <c r="P4" s="991"/>
      <c r="Q4" s="992" t="s">
        <v>425</v>
      </c>
      <c r="R4" s="992"/>
      <c r="S4" s="992"/>
      <c r="T4" s="992"/>
      <c r="U4" s="992"/>
      <c r="V4" s="992"/>
      <c r="W4" s="992"/>
      <c r="X4" s="992"/>
      <c r="Y4" s="992"/>
      <c r="Z4" s="992"/>
      <c r="AA4" s="77"/>
      <c r="AG4" s="78"/>
      <c r="AH4" s="78"/>
      <c r="AI4" s="78"/>
      <c r="AJ4" s="79"/>
      <c r="AK4" s="80"/>
      <c r="AL4" s="80"/>
      <c r="AM4" s="80"/>
      <c r="AN4" s="80"/>
      <c r="AO4" s="80"/>
      <c r="AP4" s="80"/>
      <c r="AQ4" s="80"/>
      <c r="AR4" s="80"/>
      <c r="AS4" s="80"/>
      <c r="AT4" s="80"/>
      <c r="AU4" s="80"/>
      <c r="AV4" s="80"/>
      <c r="AW4" s="80"/>
      <c r="AX4" s="81"/>
      <c r="AY4" s="81"/>
      <c r="AZ4" s="81"/>
      <c r="BA4" s="81"/>
      <c r="BB4" s="77"/>
      <c r="BC4" s="77"/>
      <c r="BD4" s="77"/>
      <c r="BE4" s="77"/>
    </row>
    <row r="5" spans="1:57" ht="12.95" customHeight="1">
      <c r="A5" s="977"/>
      <c r="B5" s="978"/>
      <c r="C5" s="978"/>
      <c r="D5" s="978"/>
      <c r="E5" s="979"/>
      <c r="F5" s="1006" t="s">
        <v>467</v>
      </c>
      <c r="G5" s="1007"/>
      <c r="H5" s="1007"/>
      <c r="I5" s="1007"/>
      <c r="J5" s="1007"/>
      <c r="K5" s="1007"/>
      <c r="L5" s="1007"/>
      <c r="M5" s="1007"/>
      <c r="N5" s="1007"/>
      <c r="O5" s="1007"/>
      <c r="P5" s="1007"/>
      <c r="Q5" s="1007"/>
      <c r="R5" s="1007"/>
      <c r="S5" s="1007"/>
      <c r="T5" s="1007"/>
      <c r="U5" s="1007"/>
      <c r="V5" s="1007"/>
      <c r="W5" s="1007"/>
      <c r="X5" s="1007"/>
      <c r="Y5" s="1007"/>
      <c r="Z5" s="1008"/>
      <c r="AA5" s="77"/>
      <c r="AG5" s="82"/>
      <c r="AH5" s="82"/>
      <c r="AI5" s="82"/>
      <c r="AJ5" s="82"/>
      <c r="AK5" s="82"/>
      <c r="AL5" s="82"/>
      <c r="AM5" s="82"/>
      <c r="AN5" s="82"/>
      <c r="AO5" s="82"/>
      <c r="AP5" s="82"/>
      <c r="AQ5" s="82"/>
      <c r="AR5" s="82"/>
      <c r="AS5" s="82"/>
      <c r="AT5" s="83"/>
      <c r="AU5" s="84"/>
      <c r="AV5" s="84"/>
      <c r="AW5" s="85"/>
      <c r="AX5" s="85"/>
      <c r="AY5" s="85"/>
      <c r="AZ5" s="85"/>
      <c r="BA5" s="85"/>
      <c r="BB5" s="77"/>
      <c r="BC5" s="77"/>
      <c r="BD5" s="77"/>
      <c r="BE5" s="77"/>
    </row>
    <row r="6" spans="1:57" ht="14.1" customHeight="1">
      <c r="A6" s="1002" t="s">
        <v>5</v>
      </c>
      <c r="B6" s="1003"/>
      <c r="C6" s="1003"/>
      <c r="D6" s="1014" t="e">
        <f>IF(#REF!="","",+#REF!)</f>
        <v>#REF!</v>
      </c>
      <c r="E6" s="1014"/>
      <c r="F6" s="1014"/>
      <c r="G6" s="1014"/>
      <c r="H6" s="1014"/>
      <c r="I6" s="1014"/>
      <c r="J6" s="1014"/>
      <c r="K6" s="1014"/>
      <c r="L6" s="1014"/>
      <c r="M6" s="1014"/>
      <c r="N6" s="1014"/>
      <c r="O6" s="1014"/>
      <c r="P6" s="1014"/>
      <c r="Q6" s="1014"/>
      <c r="R6" s="1014"/>
      <c r="S6" s="998" t="s">
        <v>229</v>
      </c>
      <c r="T6" s="998"/>
      <c r="U6" s="998"/>
      <c r="V6" s="998"/>
      <c r="W6" s="999"/>
      <c r="X6" s="999"/>
      <c r="Y6" s="999"/>
      <c r="Z6" s="1000"/>
      <c r="AC6" s="64"/>
      <c r="AD6" s="86"/>
      <c r="AE6" s="82"/>
      <c r="AF6" s="82"/>
      <c r="AG6" s="82"/>
      <c r="AH6" s="82"/>
      <c r="AI6" s="82"/>
      <c r="AJ6" s="82"/>
      <c r="AK6" s="82"/>
      <c r="AL6" s="82"/>
      <c r="AM6" s="82"/>
      <c r="AN6" s="82"/>
      <c r="AO6" s="82"/>
      <c r="AP6" s="82"/>
      <c r="AQ6" s="82"/>
      <c r="AR6" s="82"/>
      <c r="AS6" s="82"/>
      <c r="AT6" s="83"/>
      <c r="AU6" s="86"/>
      <c r="AV6" s="86"/>
      <c r="AW6" s="85"/>
      <c r="AX6" s="77"/>
      <c r="AY6" s="77"/>
      <c r="AZ6" s="77"/>
      <c r="BA6" s="77"/>
      <c r="BB6" s="77"/>
      <c r="BC6" s="77"/>
      <c r="BD6" s="77"/>
      <c r="BE6" s="77"/>
    </row>
    <row r="7" spans="1:57" s="63" customFormat="1" ht="14.1" customHeight="1">
      <c r="A7" s="1004" t="s">
        <v>30</v>
      </c>
      <c r="B7" s="1005"/>
      <c r="C7" s="1005"/>
      <c r="D7" s="1017" t="e">
        <f>IF(#REF!="","",+#REF!)</f>
        <v>#REF!</v>
      </c>
      <c r="E7" s="1017"/>
      <c r="F7" s="1017"/>
      <c r="G7" s="1017"/>
      <c r="H7" s="1017"/>
      <c r="I7" s="1015" t="s">
        <v>17</v>
      </c>
      <c r="J7" s="1015"/>
      <c r="K7" s="1015"/>
      <c r="L7" s="1011" t="e">
        <f>IF(#REF!="","",#REF!)</f>
        <v>#REF!</v>
      </c>
      <c r="M7" s="1011"/>
      <c r="N7" s="1011"/>
      <c r="O7" s="1011"/>
      <c r="P7" s="1011"/>
      <c r="Q7" s="1011"/>
      <c r="R7" s="1011"/>
      <c r="S7" s="997" t="s">
        <v>31</v>
      </c>
      <c r="T7" s="997"/>
      <c r="U7" s="997"/>
      <c r="V7" s="997"/>
      <c r="W7" s="883" t="e">
        <f>IF(#REF!="","",+#REF!)</f>
        <v>#REF!</v>
      </c>
      <c r="X7" s="883"/>
      <c r="Y7" s="883"/>
      <c r="Z7" s="884"/>
      <c r="AC7" s="64"/>
      <c r="AD7" s="64"/>
      <c r="AE7" s="82"/>
      <c r="AF7" s="82"/>
      <c r="AG7" s="82"/>
      <c r="AH7" s="82"/>
      <c r="AI7" s="82"/>
      <c r="AJ7" s="82"/>
      <c r="AK7" s="82"/>
      <c r="AL7" s="82"/>
      <c r="AM7" s="82"/>
      <c r="AN7" s="82"/>
      <c r="AO7" s="82"/>
      <c r="AP7" s="82"/>
      <c r="AQ7" s="82"/>
      <c r="AR7" s="82"/>
      <c r="AS7" s="82"/>
      <c r="AT7" s="87"/>
      <c r="AU7" s="64"/>
      <c r="AV7" s="64"/>
      <c r="AW7" s="82"/>
      <c r="AX7" s="82"/>
      <c r="AY7" s="82"/>
      <c r="AZ7" s="82"/>
      <c r="BA7" s="82"/>
      <c r="BB7" s="62"/>
      <c r="BC7" s="62"/>
      <c r="BD7" s="62"/>
      <c r="BE7" s="62"/>
    </row>
    <row r="8" spans="1:57" s="63" customFormat="1" ht="14.1" customHeight="1">
      <c r="A8" s="1004" t="s">
        <v>323</v>
      </c>
      <c r="B8" s="1005"/>
      <c r="C8" s="1005"/>
      <c r="D8" s="1011" t="e">
        <f>IF(#REF!="","",+#REF!)</f>
        <v>#REF!</v>
      </c>
      <c r="E8" s="1011"/>
      <c r="F8" s="1011"/>
      <c r="G8" s="1011"/>
      <c r="H8" s="1011"/>
      <c r="I8" s="1016" t="s">
        <v>18</v>
      </c>
      <c r="J8" s="1016"/>
      <c r="K8" s="1016"/>
      <c r="L8" s="882" t="e">
        <f>IF(#REF!="","",#REF!)</f>
        <v>#REF!</v>
      </c>
      <c r="M8" s="882"/>
      <c r="N8" s="882"/>
      <c r="O8" s="882"/>
      <c r="P8" s="882"/>
      <c r="Q8" s="882"/>
      <c r="R8" s="882"/>
      <c r="S8" s="997" t="s">
        <v>266</v>
      </c>
      <c r="T8" s="997"/>
      <c r="U8" s="997"/>
      <c r="V8" s="997"/>
      <c r="W8" s="1009" t="e">
        <f>IF(#REF!="","",+#REF!)</f>
        <v>#REF!</v>
      </c>
      <c r="X8" s="1009"/>
      <c r="Y8" s="1009"/>
      <c r="Z8" s="1010"/>
      <c r="AA8" s="62"/>
    </row>
    <row r="9" spans="1:57" s="63" customFormat="1" ht="14.1" customHeight="1">
      <c r="A9" s="1012" t="s">
        <v>6</v>
      </c>
      <c r="B9" s="1013"/>
      <c r="C9" s="1013"/>
      <c r="D9" s="1018" t="e">
        <f>IF(#REF!="","",+#REF!)</f>
        <v>#REF!</v>
      </c>
      <c r="E9" s="1018"/>
      <c r="F9" s="1018"/>
      <c r="G9" s="1018"/>
      <c r="H9" s="1018"/>
      <c r="I9" s="1018"/>
      <c r="J9" s="1018"/>
      <c r="K9" s="1018"/>
      <c r="L9" s="1018"/>
      <c r="M9" s="1018"/>
      <c r="N9" s="1018"/>
      <c r="O9" s="1018"/>
      <c r="P9" s="1018"/>
      <c r="Q9" s="1018"/>
      <c r="R9" s="1018"/>
      <c r="S9" s="1001" t="s">
        <v>463</v>
      </c>
      <c r="T9" s="1001"/>
      <c r="U9" s="1001"/>
      <c r="V9" s="1001"/>
      <c r="W9" s="883" t="e">
        <f>IF(#REF!="","",+#REF!)</f>
        <v>#REF!</v>
      </c>
      <c r="X9" s="883"/>
      <c r="Y9" s="883"/>
      <c r="Z9" s="884"/>
    </row>
    <row r="10" spans="1:57" s="63" customFormat="1" ht="15.95" customHeight="1">
      <c r="A10" s="993" t="s">
        <v>32</v>
      </c>
      <c r="B10" s="994"/>
      <c r="C10" s="994"/>
      <c r="D10" s="994"/>
      <c r="E10" s="994"/>
      <c r="F10" s="994"/>
      <c r="G10" s="994"/>
      <c r="H10" s="994"/>
      <c r="I10" s="994"/>
      <c r="J10" s="994"/>
      <c r="K10" s="994"/>
      <c r="L10" s="994"/>
      <c r="M10" s="994"/>
      <c r="N10" s="995"/>
      <c r="O10" s="996"/>
      <c r="P10" s="996"/>
      <c r="Q10" s="996"/>
      <c r="R10" s="996"/>
      <c r="S10" s="996"/>
      <c r="T10" s="996"/>
      <c r="U10" s="996"/>
      <c r="V10" s="996"/>
      <c r="W10" s="996"/>
      <c r="X10" s="996"/>
      <c r="Y10" s="996"/>
      <c r="Z10" s="996"/>
    </row>
    <row r="11" spans="1:57" ht="15.95" customHeight="1">
      <c r="A11" s="1047" t="s">
        <v>33</v>
      </c>
      <c r="B11" s="1048"/>
      <c r="C11" s="1048"/>
      <c r="D11" s="1048"/>
      <c r="E11" s="1048"/>
      <c r="F11" s="1048"/>
      <c r="G11" s="1048"/>
      <c r="H11" s="1048"/>
      <c r="I11" s="1048"/>
      <c r="J11" s="1048"/>
      <c r="K11" s="1048"/>
      <c r="L11" s="1048"/>
      <c r="M11" s="1048"/>
      <c r="N11" s="1048"/>
      <c r="O11" s="961"/>
      <c r="P11" s="961"/>
      <c r="Q11" s="961"/>
      <c r="R11" s="961"/>
      <c r="S11" s="961"/>
      <c r="T11" s="961"/>
      <c r="U11" s="961"/>
      <c r="V11" s="961"/>
      <c r="W11" s="961"/>
      <c r="X11" s="961"/>
      <c r="Y11" s="961"/>
      <c r="Z11" s="961"/>
      <c r="AA11" s="542" t="s">
        <v>44</v>
      </c>
      <c r="AB11" s="543">
        <v>12</v>
      </c>
    </row>
    <row r="12" spans="1:57" ht="15.95" customHeight="1">
      <c r="A12" s="902" t="s">
        <v>34</v>
      </c>
      <c r="B12" s="903"/>
      <c r="C12" s="903"/>
      <c r="D12" s="903"/>
      <c r="E12" s="903"/>
      <c r="F12" s="903"/>
      <c r="G12" s="903"/>
      <c r="H12" s="903"/>
      <c r="I12" s="903"/>
      <c r="J12" s="903"/>
      <c r="K12" s="903"/>
      <c r="L12" s="903"/>
      <c r="M12" s="903"/>
      <c r="N12" s="903"/>
      <c r="O12" s="973" t="str">
        <f>IF(O11="","",VLOOKUP(O11,AA11:AB14,2))</f>
        <v/>
      </c>
      <c r="P12" s="973"/>
      <c r="Q12" s="973"/>
      <c r="R12" s="973"/>
      <c r="S12" s="973"/>
      <c r="T12" s="973"/>
      <c r="U12" s="973"/>
      <c r="V12" s="973"/>
      <c r="W12" s="973"/>
      <c r="X12" s="973"/>
      <c r="Y12" s="973"/>
      <c r="Z12" s="973"/>
      <c r="AA12" s="542" t="s">
        <v>45</v>
      </c>
      <c r="AB12" s="543">
        <v>11</v>
      </c>
    </row>
    <row r="13" spans="1:57" ht="17.25" customHeight="1">
      <c r="A13" s="902" t="s">
        <v>35</v>
      </c>
      <c r="B13" s="903"/>
      <c r="C13" s="903"/>
      <c r="D13" s="903"/>
      <c r="E13" s="903"/>
      <c r="F13" s="903"/>
      <c r="G13" s="903"/>
      <c r="H13" s="903"/>
      <c r="I13" s="903"/>
      <c r="J13" s="903"/>
      <c r="K13" s="903"/>
      <c r="L13" s="903"/>
      <c r="M13" s="903"/>
      <c r="N13" s="903"/>
      <c r="O13" s="969" t="s">
        <v>36</v>
      </c>
      <c r="P13" s="969"/>
      <c r="Q13" s="969"/>
      <c r="R13" s="969"/>
      <c r="S13" s="969"/>
      <c r="T13" s="970"/>
      <c r="U13" s="971" t="s">
        <v>37</v>
      </c>
      <c r="V13" s="969"/>
      <c r="W13" s="969"/>
      <c r="X13" s="969"/>
      <c r="Y13" s="969"/>
      <c r="Z13" s="969"/>
      <c r="AA13" s="542" t="s">
        <v>46</v>
      </c>
      <c r="AB13" s="543">
        <v>8</v>
      </c>
    </row>
    <row r="14" spans="1:57" ht="18" customHeight="1">
      <c r="A14" s="902" t="s">
        <v>428</v>
      </c>
      <c r="B14" s="903"/>
      <c r="C14" s="903"/>
      <c r="D14" s="903"/>
      <c r="E14" s="903"/>
      <c r="F14" s="903"/>
      <c r="G14" s="903"/>
      <c r="H14" s="903"/>
      <c r="I14" s="903"/>
      <c r="J14" s="903"/>
      <c r="K14" s="903"/>
      <c r="L14" s="903"/>
      <c r="M14" s="1041" t="s">
        <v>82</v>
      </c>
      <c r="N14" s="1042"/>
      <c r="O14" s="962"/>
      <c r="P14" s="962"/>
      <c r="Q14" s="962"/>
      <c r="R14" s="962"/>
      <c r="S14" s="962"/>
      <c r="T14" s="963"/>
      <c r="U14" s="972"/>
      <c r="V14" s="962"/>
      <c r="W14" s="962"/>
      <c r="X14" s="962"/>
      <c r="Y14" s="962"/>
      <c r="Z14" s="962"/>
      <c r="AA14" s="542" t="s">
        <v>47</v>
      </c>
      <c r="AB14" s="543">
        <v>6</v>
      </c>
    </row>
    <row r="15" spans="1:57" ht="28.5" customHeight="1">
      <c r="A15" s="1023" t="s">
        <v>429</v>
      </c>
      <c r="B15" s="1024"/>
      <c r="C15" s="1024"/>
      <c r="D15" s="1024"/>
      <c r="E15" s="1024"/>
      <c r="F15" s="1024"/>
      <c r="G15" s="1024"/>
      <c r="H15" s="1024"/>
      <c r="I15" s="1024"/>
      <c r="J15" s="1024"/>
      <c r="K15" s="1024"/>
      <c r="L15" s="1024"/>
      <c r="M15" s="1036" t="s">
        <v>82</v>
      </c>
      <c r="N15" s="1037"/>
      <c r="O15" s="962"/>
      <c r="P15" s="962"/>
      <c r="Q15" s="962"/>
      <c r="R15" s="962"/>
      <c r="S15" s="962"/>
      <c r="T15" s="963"/>
      <c r="U15" s="964"/>
      <c r="V15" s="965"/>
      <c r="W15" s="965"/>
      <c r="X15" s="965"/>
      <c r="Y15" s="965"/>
      <c r="Z15" s="965"/>
    </row>
    <row r="16" spans="1:57" ht="30" customHeight="1">
      <c r="A16" s="1023" t="s">
        <v>430</v>
      </c>
      <c r="B16" s="1024"/>
      <c r="C16" s="1024"/>
      <c r="D16" s="1024"/>
      <c r="E16" s="1024"/>
      <c r="F16" s="1024"/>
      <c r="G16" s="1024"/>
      <c r="H16" s="1024"/>
      <c r="I16" s="1024"/>
      <c r="J16" s="1024"/>
      <c r="K16" s="1024"/>
      <c r="L16" s="1024"/>
      <c r="M16" s="1036" t="s">
        <v>82</v>
      </c>
      <c r="N16" s="1037"/>
      <c r="O16" s="966"/>
      <c r="P16" s="966"/>
      <c r="Q16" s="966"/>
      <c r="R16" s="966"/>
      <c r="S16" s="966"/>
      <c r="T16" s="967"/>
      <c r="U16" s="968"/>
      <c r="V16" s="966"/>
      <c r="W16" s="966"/>
      <c r="X16" s="966"/>
      <c r="Y16" s="966"/>
      <c r="Z16" s="966"/>
      <c r="AF16" s="88"/>
    </row>
    <row r="17" spans="1:27" ht="15.95" customHeight="1">
      <c r="A17" s="1043" t="s">
        <v>239</v>
      </c>
      <c r="B17" s="1044"/>
      <c r="C17" s="1044"/>
      <c r="D17" s="1044"/>
      <c r="E17" s="1044"/>
      <c r="F17" s="1044"/>
      <c r="G17" s="1044"/>
      <c r="H17" s="1044"/>
      <c r="I17" s="1044"/>
      <c r="J17" s="1044"/>
      <c r="K17" s="1044"/>
      <c r="L17" s="1044"/>
      <c r="M17" s="1045" t="s">
        <v>86</v>
      </c>
      <c r="N17" s="1046"/>
      <c r="O17" s="1031" t="str">
        <f>+IF(O14="","",IF(O15="","",((O14-O15)/O14*100)))</f>
        <v/>
      </c>
      <c r="P17" s="1031"/>
      <c r="Q17" s="1031"/>
      <c r="R17" s="1031"/>
      <c r="S17" s="1031"/>
      <c r="T17" s="1032"/>
      <c r="U17" s="964"/>
      <c r="V17" s="965"/>
      <c r="W17" s="965"/>
      <c r="X17" s="965"/>
      <c r="Y17" s="965"/>
      <c r="Z17" s="965"/>
    </row>
    <row r="18" spans="1:27" s="89" customFormat="1" ht="15.95" customHeight="1">
      <c r="A18" s="1023" t="s">
        <v>240</v>
      </c>
      <c r="B18" s="1024"/>
      <c r="C18" s="1024"/>
      <c r="D18" s="1024"/>
      <c r="E18" s="1024"/>
      <c r="F18" s="1024"/>
      <c r="G18" s="1024"/>
      <c r="H18" s="1024"/>
      <c r="I18" s="1024"/>
      <c r="J18" s="1024"/>
      <c r="K18" s="1024"/>
      <c r="L18" s="1024"/>
      <c r="M18" s="1036" t="s">
        <v>86</v>
      </c>
      <c r="N18" s="1037"/>
      <c r="O18" s="1033" t="str">
        <f>IF(O14="","",((+O14-O16)/O14 *100))</f>
        <v/>
      </c>
      <c r="P18" s="1033"/>
      <c r="Q18" s="1033"/>
      <c r="R18" s="1033"/>
      <c r="S18" s="1033"/>
      <c r="T18" s="1034"/>
      <c r="U18" s="1035" t="str">
        <f>IF(U14="","",((+U14-U16)/U14*100))</f>
        <v/>
      </c>
      <c r="V18" s="1033"/>
      <c r="W18" s="1033"/>
      <c r="X18" s="1033"/>
      <c r="Y18" s="1033"/>
      <c r="Z18" s="1033"/>
    </row>
    <row r="19" spans="1:27" ht="15.95" customHeight="1">
      <c r="A19" s="1023" t="s">
        <v>241</v>
      </c>
      <c r="B19" s="1024"/>
      <c r="C19" s="1024"/>
      <c r="D19" s="1024"/>
      <c r="E19" s="1024"/>
      <c r="F19" s="1024"/>
      <c r="G19" s="1024"/>
      <c r="H19" s="1024"/>
      <c r="I19" s="1024"/>
      <c r="J19" s="1024"/>
      <c r="K19" s="1024"/>
      <c r="L19" s="1024"/>
      <c r="M19" s="1024"/>
      <c r="N19" s="1024"/>
      <c r="O19" s="1025" t="str">
        <f>IF(U18="","",((+U18/O18)))</f>
        <v/>
      </c>
      <c r="P19" s="1025"/>
      <c r="Q19" s="1025"/>
      <c r="R19" s="1025"/>
      <c r="S19" s="1025"/>
      <c r="T19" s="1025"/>
      <c r="U19" s="1025"/>
      <c r="V19" s="1025"/>
      <c r="W19" s="1025"/>
      <c r="X19" s="1025"/>
      <c r="Y19" s="1025"/>
      <c r="Z19" s="1025"/>
    </row>
    <row r="20" spans="1:27" ht="15.95" customHeight="1">
      <c r="A20" s="1026" t="s">
        <v>38</v>
      </c>
      <c r="B20" s="1027"/>
      <c r="C20" s="1027"/>
      <c r="D20" s="1027"/>
      <c r="E20" s="1027"/>
      <c r="F20" s="1027"/>
      <c r="G20" s="1027"/>
      <c r="H20" s="1027"/>
      <c r="I20" s="1027"/>
      <c r="J20" s="1027"/>
      <c r="K20" s="1027"/>
      <c r="L20" s="1027"/>
      <c r="M20" s="1027"/>
      <c r="N20" s="1027"/>
      <c r="O20" s="1038" t="str">
        <f>+IF(O18="","",IF(O15="","",(O17/O18)))</f>
        <v/>
      </c>
      <c r="P20" s="1039"/>
      <c r="Q20" s="1039"/>
      <c r="R20" s="1039"/>
      <c r="S20" s="1039"/>
      <c r="T20" s="1039"/>
      <c r="U20" s="1039"/>
      <c r="V20" s="1039"/>
      <c r="W20" s="1039"/>
      <c r="X20" s="1039"/>
      <c r="Y20" s="1039"/>
      <c r="Z20" s="1040"/>
    </row>
    <row r="21" spans="1:27" ht="18" customHeight="1">
      <c r="A21" s="1028" t="s">
        <v>39</v>
      </c>
      <c r="B21" s="1029"/>
      <c r="C21" s="1029"/>
      <c r="D21" s="1029"/>
      <c r="E21" s="1029"/>
      <c r="F21" s="1029"/>
      <c r="G21" s="1029"/>
      <c r="H21" s="1029"/>
      <c r="I21" s="1029"/>
      <c r="J21" s="1029"/>
      <c r="K21" s="1029"/>
      <c r="L21" s="1029"/>
      <c r="M21" s="1029"/>
      <c r="N21" s="1029"/>
      <c r="O21" s="1029"/>
      <c r="P21" s="1029"/>
      <c r="Q21" s="1029"/>
      <c r="R21" s="1029"/>
      <c r="S21" s="1029"/>
      <c r="T21" s="1029"/>
      <c r="U21" s="1029"/>
      <c r="V21" s="1029"/>
      <c r="W21" s="1029"/>
      <c r="X21" s="1029"/>
      <c r="Y21" s="1029"/>
      <c r="Z21" s="1030"/>
      <c r="AA21" s="541"/>
    </row>
    <row r="22" spans="1:27" ht="18" customHeight="1">
      <c r="A22" s="891" t="s">
        <v>40</v>
      </c>
      <c r="B22" s="892"/>
      <c r="C22" s="892"/>
      <c r="D22" s="892"/>
      <c r="E22" s="892"/>
      <c r="F22" s="892"/>
      <c r="G22" s="892"/>
      <c r="H22" s="892"/>
      <c r="I22" s="892"/>
      <c r="J22" s="892"/>
      <c r="K22" s="892"/>
      <c r="L22" s="892"/>
      <c r="M22" s="892"/>
      <c r="N22" s="892"/>
      <c r="O22" s="892"/>
      <c r="P22" s="892"/>
      <c r="Q22" s="892"/>
      <c r="R22" s="892"/>
      <c r="S22" s="892"/>
      <c r="T22" s="892"/>
      <c r="U22" s="892"/>
      <c r="V22" s="892"/>
      <c r="W22" s="892"/>
      <c r="X22" s="892"/>
      <c r="Y22" s="892"/>
      <c r="Z22" s="893"/>
    </row>
    <row r="23" spans="1:27" s="90" customFormat="1" ht="27" customHeight="1">
      <c r="A23" s="894" t="s">
        <v>242</v>
      </c>
      <c r="B23" s="895"/>
      <c r="C23" s="895"/>
      <c r="D23" s="895"/>
      <c r="E23" s="895"/>
      <c r="F23" s="895"/>
      <c r="G23" s="896" t="s">
        <v>41</v>
      </c>
      <c r="H23" s="897"/>
      <c r="I23" s="897"/>
      <c r="J23" s="897"/>
      <c r="K23" s="897"/>
      <c r="L23" s="897"/>
      <c r="M23" s="897"/>
      <c r="N23" s="897"/>
      <c r="O23" s="897"/>
      <c r="P23" s="897"/>
      <c r="Q23" s="897"/>
      <c r="R23" s="897"/>
      <c r="S23" s="897"/>
      <c r="T23" s="897"/>
      <c r="U23" s="897"/>
      <c r="V23" s="897"/>
      <c r="W23" s="897"/>
      <c r="X23" s="897"/>
      <c r="Y23" s="897"/>
      <c r="Z23" s="898"/>
    </row>
    <row r="24" spans="1:27" s="91" customFormat="1" ht="15" customHeight="1">
      <c r="A24" s="896" t="s">
        <v>42</v>
      </c>
      <c r="B24" s="897"/>
      <c r="C24" s="898"/>
      <c r="D24" s="897" t="s">
        <v>43</v>
      </c>
      <c r="E24" s="897"/>
      <c r="F24" s="898"/>
      <c r="G24" s="899" t="s">
        <v>44</v>
      </c>
      <c r="H24" s="900"/>
      <c r="I24" s="900"/>
      <c r="J24" s="900"/>
      <c r="K24" s="901"/>
      <c r="L24" s="899" t="s">
        <v>45</v>
      </c>
      <c r="M24" s="900"/>
      <c r="N24" s="900"/>
      <c r="O24" s="900"/>
      <c r="P24" s="901"/>
      <c r="Q24" s="899" t="s">
        <v>46</v>
      </c>
      <c r="R24" s="900"/>
      <c r="S24" s="900"/>
      <c r="T24" s="900"/>
      <c r="U24" s="901"/>
      <c r="V24" s="899" t="s">
        <v>47</v>
      </c>
      <c r="W24" s="900"/>
      <c r="X24" s="900"/>
      <c r="Y24" s="900"/>
      <c r="Z24" s="901"/>
    </row>
    <row r="25" spans="1:27" ht="15.95" customHeight="1">
      <c r="A25" s="953" t="s">
        <v>49</v>
      </c>
      <c r="B25" s="954"/>
      <c r="C25" s="955"/>
      <c r="D25" s="954" t="s">
        <v>50</v>
      </c>
      <c r="E25" s="954"/>
      <c r="F25" s="956"/>
      <c r="G25" s="957" t="s">
        <v>51</v>
      </c>
      <c r="H25" s="958"/>
      <c r="I25" s="958"/>
      <c r="J25" s="958"/>
      <c r="K25" s="959"/>
      <c r="L25" s="888"/>
      <c r="M25" s="889"/>
      <c r="N25" s="889"/>
      <c r="O25" s="889"/>
      <c r="P25" s="890"/>
      <c r="Q25" s="885"/>
      <c r="R25" s="886"/>
      <c r="S25" s="886"/>
      <c r="T25" s="886"/>
      <c r="U25" s="887"/>
      <c r="V25" s="888"/>
      <c r="W25" s="889"/>
      <c r="X25" s="889"/>
      <c r="Y25" s="889"/>
      <c r="Z25" s="890"/>
    </row>
    <row r="26" spans="1:27" ht="15.95" customHeight="1">
      <c r="A26" s="943" t="s">
        <v>50</v>
      </c>
      <c r="B26" s="944"/>
      <c r="C26" s="960"/>
      <c r="D26" s="944" t="s">
        <v>52</v>
      </c>
      <c r="E26" s="944"/>
      <c r="F26" s="946"/>
      <c r="G26" s="950" t="s">
        <v>51</v>
      </c>
      <c r="H26" s="951"/>
      <c r="I26" s="951"/>
      <c r="J26" s="951"/>
      <c r="K26" s="952"/>
      <c r="L26" s="879"/>
      <c r="M26" s="880"/>
      <c r="N26" s="880"/>
      <c r="O26" s="880"/>
      <c r="P26" s="881"/>
      <c r="Q26" s="879"/>
      <c r="R26" s="880"/>
      <c r="S26" s="880"/>
      <c r="T26" s="880"/>
      <c r="U26" s="881"/>
      <c r="V26" s="879"/>
      <c r="W26" s="880"/>
      <c r="X26" s="880"/>
      <c r="Y26" s="880"/>
      <c r="Z26" s="881"/>
    </row>
    <row r="27" spans="1:27" ht="15.95" customHeight="1">
      <c r="A27" s="943" t="s">
        <v>52</v>
      </c>
      <c r="B27" s="944"/>
      <c r="C27" s="944"/>
      <c r="D27" s="945" t="s">
        <v>53</v>
      </c>
      <c r="E27" s="944"/>
      <c r="F27" s="946"/>
      <c r="G27" s="950" t="s">
        <v>54</v>
      </c>
      <c r="H27" s="951"/>
      <c r="I27" s="951"/>
      <c r="J27" s="951"/>
      <c r="K27" s="952"/>
      <c r="L27" s="950" t="s">
        <v>55</v>
      </c>
      <c r="M27" s="951"/>
      <c r="N27" s="951"/>
      <c r="O27" s="951"/>
      <c r="P27" s="952"/>
      <c r="Q27" s="879"/>
      <c r="R27" s="880"/>
      <c r="S27" s="880"/>
      <c r="T27" s="880"/>
      <c r="U27" s="881"/>
      <c r="V27" s="879"/>
      <c r="W27" s="880"/>
      <c r="X27" s="880"/>
      <c r="Y27" s="880"/>
      <c r="Z27" s="881"/>
    </row>
    <row r="28" spans="1:27" ht="15.95" customHeight="1">
      <c r="A28" s="943" t="s">
        <v>53</v>
      </c>
      <c r="B28" s="944"/>
      <c r="C28" s="944"/>
      <c r="D28" s="945" t="s">
        <v>56</v>
      </c>
      <c r="E28" s="944"/>
      <c r="F28" s="946"/>
      <c r="G28" s="950" t="s">
        <v>54</v>
      </c>
      <c r="H28" s="951"/>
      <c r="I28" s="951"/>
      <c r="J28" s="951"/>
      <c r="K28" s="952"/>
      <c r="L28" s="950" t="s">
        <v>55</v>
      </c>
      <c r="M28" s="951"/>
      <c r="N28" s="951"/>
      <c r="O28" s="951"/>
      <c r="P28" s="952"/>
      <c r="Q28" s="879"/>
      <c r="R28" s="880"/>
      <c r="S28" s="880"/>
      <c r="T28" s="880"/>
      <c r="U28" s="881"/>
      <c r="V28" s="879"/>
      <c r="W28" s="880"/>
      <c r="X28" s="880"/>
      <c r="Y28" s="880"/>
      <c r="Z28" s="881"/>
    </row>
    <row r="29" spans="1:27" ht="15.95" customHeight="1">
      <c r="A29" s="943" t="s">
        <v>56</v>
      </c>
      <c r="B29" s="944"/>
      <c r="C29" s="944"/>
      <c r="D29" s="945" t="s">
        <v>57</v>
      </c>
      <c r="E29" s="944"/>
      <c r="F29" s="946"/>
      <c r="G29" s="879"/>
      <c r="H29" s="880"/>
      <c r="I29" s="880"/>
      <c r="J29" s="880"/>
      <c r="K29" s="881"/>
      <c r="L29" s="879"/>
      <c r="M29" s="880"/>
      <c r="N29" s="880"/>
      <c r="O29" s="880"/>
      <c r="P29" s="881"/>
      <c r="Q29" s="950" t="s">
        <v>55</v>
      </c>
      <c r="R29" s="951"/>
      <c r="S29" s="951"/>
      <c r="T29" s="951"/>
      <c r="U29" s="952"/>
      <c r="V29" s="879"/>
      <c r="W29" s="880"/>
      <c r="X29" s="880"/>
      <c r="Y29" s="880"/>
      <c r="Z29" s="881"/>
    </row>
    <row r="30" spans="1:27" ht="15.95" customHeight="1">
      <c r="A30" s="943" t="s">
        <v>57</v>
      </c>
      <c r="B30" s="944"/>
      <c r="C30" s="944"/>
      <c r="D30" s="945" t="s">
        <v>58</v>
      </c>
      <c r="E30" s="944"/>
      <c r="F30" s="946"/>
      <c r="G30" s="879"/>
      <c r="H30" s="880"/>
      <c r="I30" s="880"/>
      <c r="J30" s="880"/>
      <c r="K30" s="881"/>
      <c r="L30" s="879"/>
      <c r="M30" s="880"/>
      <c r="N30" s="880"/>
      <c r="O30" s="880"/>
      <c r="P30" s="881"/>
      <c r="Q30" s="950" t="s">
        <v>55</v>
      </c>
      <c r="R30" s="951"/>
      <c r="S30" s="951"/>
      <c r="T30" s="951"/>
      <c r="U30" s="952"/>
      <c r="V30" s="879"/>
      <c r="W30" s="880"/>
      <c r="X30" s="880"/>
      <c r="Y30" s="880"/>
      <c r="Z30" s="881"/>
    </row>
    <row r="31" spans="1:27" ht="15.95" customHeight="1">
      <c r="A31" s="943" t="s">
        <v>58</v>
      </c>
      <c r="B31" s="944"/>
      <c r="C31" s="944"/>
      <c r="D31" s="945" t="s">
        <v>59</v>
      </c>
      <c r="E31" s="944"/>
      <c r="F31" s="946"/>
      <c r="G31" s="879"/>
      <c r="H31" s="880"/>
      <c r="I31" s="880"/>
      <c r="J31" s="880"/>
      <c r="K31" s="881"/>
      <c r="L31" s="879"/>
      <c r="M31" s="880"/>
      <c r="N31" s="880"/>
      <c r="O31" s="880"/>
      <c r="P31" s="881"/>
      <c r="Q31" s="879"/>
      <c r="R31" s="880"/>
      <c r="S31" s="880"/>
      <c r="T31" s="880"/>
      <c r="U31" s="881"/>
      <c r="V31" s="950" t="s">
        <v>60</v>
      </c>
      <c r="W31" s="951"/>
      <c r="X31" s="951"/>
      <c r="Y31" s="951"/>
      <c r="Z31" s="952"/>
    </row>
    <row r="32" spans="1:27" ht="15.95" customHeight="1">
      <c r="A32" s="947" t="s">
        <v>61</v>
      </c>
      <c r="B32" s="948"/>
      <c r="C32" s="948"/>
      <c r="D32" s="948"/>
      <c r="E32" s="948"/>
      <c r="F32" s="949"/>
      <c r="G32" s="947">
        <v>12</v>
      </c>
      <c r="H32" s="948"/>
      <c r="I32" s="948"/>
      <c r="J32" s="948"/>
      <c r="K32" s="949"/>
      <c r="L32" s="947">
        <v>11</v>
      </c>
      <c r="M32" s="948"/>
      <c r="N32" s="948"/>
      <c r="O32" s="948"/>
      <c r="P32" s="949"/>
      <c r="Q32" s="947">
        <v>8</v>
      </c>
      <c r="R32" s="948"/>
      <c r="S32" s="948"/>
      <c r="T32" s="948"/>
      <c r="U32" s="949"/>
      <c r="V32" s="947">
        <v>6</v>
      </c>
      <c r="W32" s="948"/>
      <c r="X32" s="948"/>
      <c r="Y32" s="948"/>
      <c r="Z32" s="949"/>
    </row>
    <row r="33" spans="1:60" ht="15.95" customHeight="1">
      <c r="A33" s="907" t="s">
        <v>62</v>
      </c>
      <c r="B33" s="908"/>
      <c r="C33" s="908"/>
      <c r="D33" s="908"/>
      <c r="E33" s="908"/>
      <c r="F33" s="908"/>
      <c r="G33" s="908"/>
      <c r="H33" s="908"/>
      <c r="I33" s="908"/>
      <c r="J33" s="908"/>
      <c r="K33" s="908"/>
      <c r="L33" s="908"/>
      <c r="M33" s="908"/>
      <c r="N33" s="908"/>
      <c r="O33" s="908"/>
      <c r="P33" s="908"/>
      <c r="Q33" s="908"/>
      <c r="R33" s="908"/>
      <c r="S33" s="908"/>
      <c r="T33" s="908"/>
      <c r="U33" s="908"/>
      <c r="V33" s="908"/>
      <c r="W33" s="908"/>
      <c r="X33" s="908"/>
      <c r="Y33" s="908"/>
      <c r="Z33" s="909"/>
    </row>
    <row r="34" spans="1:60" ht="16.5" customHeight="1">
      <c r="A34" s="1019" t="s">
        <v>19</v>
      </c>
      <c r="B34" s="1020"/>
      <c r="C34" s="1020"/>
      <c r="D34" s="1021"/>
      <c r="E34" s="1021"/>
      <c r="F34" s="1021"/>
      <c r="G34" s="1021"/>
      <c r="H34" s="1021"/>
      <c r="I34" s="1021"/>
      <c r="J34" s="1021"/>
      <c r="K34" s="1021"/>
      <c r="L34" s="1021"/>
      <c r="M34" s="1021"/>
      <c r="N34" s="1021"/>
      <c r="O34" s="1021"/>
      <c r="P34" s="1021"/>
      <c r="Q34" s="1021"/>
      <c r="R34" s="1021"/>
      <c r="S34" s="1021"/>
      <c r="T34" s="1021"/>
      <c r="U34" s="1021"/>
      <c r="V34" s="1021"/>
      <c r="W34" s="1021"/>
      <c r="X34" s="1021"/>
      <c r="Y34" s="1021"/>
      <c r="Z34" s="1022"/>
    </row>
    <row r="35" spans="1:60" ht="33.75" customHeight="1">
      <c r="A35" s="910"/>
      <c r="B35" s="911"/>
      <c r="C35" s="911"/>
      <c r="D35" s="911"/>
      <c r="E35" s="911"/>
      <c r="F35" s="911"/>
      <c r="G35" s="911"/>
      <c r="H35" s="911"/>
      <c r="I35" s="911"/>
      <c r="J35" s="911"/>
      <c r="K35" s="911"/>
      <c r="L35" s="911"/>
      <c r="M35" s="911"/>
      <c r="N35" s="911"/>
      <c r="O35" s="911"/>
      <c r="P35" s="911"/>
      <c r="Q35" s="911"/>
      <c r="R35" s="911"/>
      <c r="S35" s="911"/>
      <c r="T35" s="911"/>
      <c r="U35" s="911"/>
      <c r="V35" s="911"/>
      <c r="W35" s="911"/>
      <c r="X35" s="911"/>
      <c r="Y35" s="911"/>
      <c r="Z35" s="912"/>
    </row>
    <row r="36" spans="1:60" s="72" customFormat="1" ht="14.1" customHeight="1">
      <c r="A36" s="913"/>
      <c r="B36" s="914"/>
      <c r="C36" s="914"/>
      <c r="D36" s="914"/>
      <c r="E36" s="915"/>
      <c r="F36" s="917" t="s">
        <v>9</v>
      </c>
      <c r="G36" s="917"/>
      <c r="H36" s="917"/>
      <c r="I36" s="917"/>
      <c r="J36" s="917"/>
      <c r="K36" s="917"/>
      <c r="L36" s="916" t="s">
        <v>21</v>
      </c>
      <c r="M36" s="917"/>
      <c r="N36" s="917"/>
      <c r="O36" s="917"/>
      <c r="P36" s="917"/>
      <c r="Q36" s="917"/>
      <c r="R36" s="917"/>
      <c r="S36" s="918"/>
      <c r="T36" s="916" t="s">
        <v>22</v>
      </c>
      <c r="U36" s="917"/>
      <c r="V36" s="917"/>
      <c r="W36" s="917"/>
      <c r="X36" s="917"/>
      <c r="Y36" s="917"/>
      <c r="Z36" s="918"/>
    </row>
    <row r="37" spans="1:60" s="67" customFormat="1" ht="39.950000000000003" customHeight="1">
      <c r="A37" s="937" t="s">
        <v>12</v>
      </c>
      <c r="B37" s="938"/>
      <c r="C37" s="938"/>
      <c r="D37" s="938"/>
      <c r="E37" s="939"/>
      <c r="F37" s="926"/>
      <c r="G37" s="926"/>
      <c r="H37" s="926"/>
      <c r="I37" s="926"/>
      <c r="J37" s="926"/>
      <c r="K37" s="926"/>
      <c r="L37" s="928"/>
      <c r="M37" s="929"/>
      <c r="N37" s="929"/>
      <c r="O37" s="929"/>
      <c r="P37" s="929"/>
      <c r="Q37" s="929"/>
      <c r="R37" s="929"/>
      <c r="S37" s="930"/>
      <c r="T37" s="925"/>
      <c r="U37" s="926"/>
      <c r="V37" s="926"/>
      <c r="W37" s="926"/>
      <c r="X37" s="926"/>
      <c r="Y37" s="926"/>
      <c r="Z37" s="927"/>
    </row>
    <row r="38" spans="1:60" s="67" customFormat="1" ht="14.1" customHeight="1">
      <c r="A38" s="937" t="s">
        <v>447</v>
      </c>
      <c r="B38" s="938"/>
      <c r="C38" s="938"/>
      <c r="D38" s="938"/>
      <c r="E38" s="939"/>
      <c r="F38" s="920" t="s">
        <v>410</v>
      </c>
      <c r="G38" s="920"/>
      <c r="H38" s="920"/>
      <c r="I38" s="920"/>
      <c r="J38" s="920"/>
      <c r="K38" s="920"/>
      <c r="L38" s="931" t="s">
        <v>410</v>
      </c>
      <c r="M38" s="932"/>
      <c r="N38" s="932"/>
      <c r="O38" s="932"/>
      <c r="P38" s="932"/>
      <c r="Q38" s="932"/>
      <c r="R38" s="932"/>
      <c r="S38" s="933"/>
      <c r="T38" s="919" t="s">
        <v>410</v>
      </c>
      <c r="U38" s="920"/>
      <c r="V38" s="920"/>
      <c r="W38" s="920"/>
      <c r="X38" s="920"/>
      <c r="Y38" s="920"/>
      <c r="Z38" s="921"/>
      <c r="AD38" s="92"/>
    </row>
    <row r="39" spans="1:60" s="67" customFormat="1" ht="14.1" customHeight="1" thickBot="1">
      <c r="A39" s="940" t="s">
        <v>13</v>
      </c>
      <c r="B39" s="941"/>
      <c r="C39" s="941"/>
      <c r="D39" s="941"/>
      <c r="E39" s="942"/>
      <c r="F39" s="923" t="str">
        <f>IF(F38="--","",VLOOKUP(F38,firmas!A2:B26,2,0))</f>
        <v/>
      </c>
      <c r="G39" s="923"/>
      <c r="H39" s="923"/>
      <c r="I39" s="923"/>
      <c r="J39" s="923"/>
      <c r="K39" s="923"/>
      <c r="L39" s="934" t="str">
        <f>IF(L38="--","",VLOOKUP(L38,firmas!A28:B31,2,0))</f>
        <v/>
      </c>
      <c r="M39" s="935"/>
      <c r="N39" s="935"/>
      <c r="O39" s="935"/>
      <c r="P39" s="935"/>
      <c r="Q39" s="935"/>
      <c r="R39" s="935"/>
      <c r="S39" s="936"/>
      <c r="T39" s="922" t="str">
        <f>IF(T38="--","",VLOOKUP(T38,firmas!A33:B34,2))</f>
        <v/>
      </c>
      <c r="U39" s="923"/>
      <c r="V39" s="923"/>
      <c r="W39" s="923"/>
      <c r="X39" s="923"/>
      <c r="Y39" s="923"/>
      <c r="Z39" s="924"/>
    </row>
    <row r="40" spans="1:60" s="67" customFormat="1" ht="12" customHeight="1" thickTop="1" thickBot="1">
      <c r="A40" s="904" t="s">
        <v>23</v>
      </c>
      <c r="B40" s="904"/>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row>
    <row r="41" spans="1:60" s="67" customFormat="1" ht="20.100000000000001" customHeight="1" thickTop="1">
      <c r="A41" s="905" t="s">
        <v>24</v>
      </c>
      <c r="B41" s="905"/>
      <c r="C41" s="905"/>
      <c r="D41" s="905"/>
      <c r="E41" s="905"/>
      <c r="F41" s="905"/>
      <c r="G41" s="905"/>
      <c r="H41" s="905"/>
      <c r="I41" s="905"/>
      <c r="J41" s="905"/>
      <c r="K41" s="905"/>
      <c r="L41" s="905"/>
      <c r="M41" s="905"/>
      <c r="N41" s="905"/>
      <c r="O41" s="905"/>
      <c r="P41" s="905"/>
      <c r="Q41" s="905"/>
      <c r="R41" s="905"/>
      <c r="S41" s="905"/>
      <c r="T41" s="905"/>
      <c r="U41" s="905"/>
      <c r="V41" s="905"/>
      <c r="W41" s="905"/>
      <c r="X41" s="905"/>
      <c r="Y41" s="905"/>
      <c r="Z41" s="905"/>
    </row>
    <row r="42" spans="1:60" s="73" customFormat="1" ht="30" customHeight="1">
      <c r="A42" s="906" t="s">
        <v>15</v>
      </c>
      <c r="B42" s="906"/>
      <c r="C42" s="906"/>
      <c r="D42" s="906"/>
      <c r="E42" s="906"/>
      <c r="F42" s="906"/>
      <c r="G42" s="906"/>
      <c r="H42" s="906"/>
      <c r="I42" s="906"/>
      <c r="J42" s="906"/>
      <c r="K42" s="906"/>
      <c r="L42" s="906"/>
      <c r="M42" s="906"/>
      <c r="N42" s="906"/>
      <c r="O42" s="906"/>
      <c r="P42" s="906"/>
      <c r="Q42" s="906"/>
      <c r="R42" s="906"/>
      <c r="S42" s="906"/>
      <c r="T42" s="906"/>
      <c r="U42" s="906"/>
      <c r="V42" s="906"/>
      <c r="W42" s="906"/>
      <c r="X42" s="906"/>
      <c r="Y42" s="906"/>
      <c r="Z42" s="906"/>
    </row>
    <row r="43" spans="1:60" s="67" customFormat="1" ht="18.75" customHeight="1">
      <c r="A43" s="93"/>
      <c r="B43" s="93"/>
      <c r="C43" s="93"/>
      <c r="D43" s="93"/>
      <c r="E43" s="93"/>
      <c r="F43" s="93"/>
      <c r="G43" s="93"/>
      <c r="H43" s="93"/>
      <c r="I43" s="93"/>
      <c r="J43" s="93"/>
      <c r="K43" s="93"/>
      <c r="L43" s="93"/>
      <c r="M43" s="93"/>
      <c r="N43" s="93"/>
      <c r="O43" s="93"/>
      <c r="P43" s="93"/>
      <c r="Q43" s="93"/>
      <c r="R43" s="93"/>
      <c r="S43" s="93"/>
      <c r="T43" s="93"/>
      <c r="U43" s="93"/>
      <c r="V43" s="93"/>
      <c r="W43" s="93"/>
      <c r="X43" s="93"/>
      <c r="Y43" s="93"/>
      <c r="Z43" s="93"/>
    </row>
    <row r="44" spans="1:60" s="67" customFormat="1" ht="30" customHeight="1">
      <c r="A44" s="94"/>
      <c r="B44" s="94"/>
      <c r="C44" s="94"/>
      <c r="D44" s="94"/>
      <c r="E44" s="94"/>
      <c r="F44" s="94"/>
      <c r="G44" s="94"/>
      <c r="H44" s="94"/>
      <c r="I44" s="94"/>
      <c r="J44" s="94"/>
      <c r="K44" s="94"/>
      <c r="L44" s="94"/>
      <c r="M44" s="94"/>
      <c r="N44" s="94"/>
      <c r="O44" s="94"/>
      <c r="P44" s="94"/>
      <c r="Q44" s="94"/>
      <c r="R44" s="94"/>
      <c r="S44" s="94"/>
      <c r="T44" s="94"/>
      <c r="U44" s="94"/>
      <c r="V44" s="94"/>
      <c r="W44" s="94"/>
      <c r="X44" s="94"/>
      <c r="Y44" s="94"/>
      <c r="Z44" s="94"/>
    </row>
    <row r="45" spans="1:60" ht="23.25" customHeight="1">
      <c r="A45" s="65"/>
      <c r="B45" s="65"/>
      <c r="C45" s="65"/>
      <c r="D45" s="65"/>
      <c r="E45" s="65"/>
      <c r="F45" s="65"/>
      <c r="G45" s="65"/>
      <c r="H45" s="65"/>
      <c r="I45" s="65"/>
      <c r="J45" s="65"/>
      <c r="K45" s="65"/>
      <c r="L45" s="65"/>
      <c r="M45" s="65"/>
      <c r="N45" s="65"/>
      <c r="O45" s="65"/>
      <c r="P45" s="65"/>
      <c r="Q45" s="65"/>
      <c r="R45" s="65"/>
      <c r="S45" s="65"/>
      <c r="T45" s="65"/>
      <c r="U45" s="65"/>
      <c r="V45" s="65"/>
      <c r="W45" s="65"/>
      <c r="X45" s="65"/>
      <c r="Y45" s="65"/>
      <c r="Z45" s="95"/>
      <c r="AA45" s="66"/>
      <c r="AB45" s="66"/>
      <c r="AC45" s="66"/>
      <c r="AD45" s="96"/>
      <c r="AE45" s="97"/>
    </row>
    <row r="46" spans="1:60" s="102" customFormat="1" ht="30" customHeight="1">
      <c r="A46" s="98"/>
      <c r="B46" s="98"/>
      <c r="C46" s="98"/>
      <c r="D46" s="98"/>
      <c r="E46" s="98"/>
      <c r="F46" s="98"/>
      <c r="G46" s="98"/>
      <c r="H46" s="98"/>
      <c r="I46" s="98"/>
      <c r="J46" s="98"/>
      <c r="K46" s="98"/>
      <c r="L46" s="98"/>
      <c r="M46" s="98"/>
      <c r="N46" s="98"/>
      <c r="O46" s="98"/>
      <c r="P46" s="98"/>
      <c r="Q46" s="98"/>
      <c r="R46" s="98"/>
      <c r="S46" s="98"/>
      <c r="T46" s="98"/>
      <c r="U46" s="98"/>
      <c r="V46" s="1"/>
      <c r="W46" s="1"/>
      <c r="X46" s="1"/>
      <c r="Y46" s="1"/>
      <c r="Z46" s="99"/>
      <c r="AA46" s="68"/>
      <c r="AB46" s="68"/>
      <c r="AC46" s="68"/>
      <c r="AD46" s="96"/>
      <c r="AE46" s="100"/>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1"/>
      <c r="BC46" s="101"/>
      <c r="BD46" s="101"/>
      <c r="BE46" s="101"/>
      <c r="BF46" s="101"/>
      <c r="BG46" s="101"/>
      <c r="BH46" s="101"/>
    </row>
    <row r="47" spans="1:60" s="102" customFormat="1" ht="12" customHeight="1">
      <c r="A47" s="103"/>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1"/>
      <c r="BC47" s="101"/>
      <c r="BD47" s="101"/>
      <c r="BE47" s="101"/>
      <c r="BF47" s="101"/>
      <c r="BG47" s="101"/>
      <c r="BH47" s="101"/>
    </row>
    <row r="48" spans="1:60" s="102" customFormat="1" ht="12" customHeight="1">
      <c r="A48" s="77"/>
      <c r="B48" s="77"/>
      <c r="C48" s="77"/>
      <c r="D48" s="77"/>
      <c r="E48" s="77"/>
      <c r="F48" s="77"/>
      <c r="G48" s="77"/>
      <c r="H48" s="77"/>
      <c r="I48" s="77"/>
      <c r="J48" s="77"/>
      <c r="K48" s="77"/>
      <c r="L48" s="77"/>
      <c r="M48" s="77"/>
      <c r="N48" s="77"/>
      <c r="O48" s="77"/>
      <c r="P48" s="77"/>
      <c r="Q48" s="77"/>
      <c r="R48" s="77"/>
      <c r="S48" s="77"/>
      <c r="T48" s="77"/>
      <c r="U48" s="77"/>
      <c r="V48" s="77"/>
      <c r="W48" s="77"/>
      <c r="X48" s="77"/>
      <c r="Y48" s="77"/>
      <c r="Z48" s="77"/>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1"/>
      <c r="BC48" s="101"/>
      <c r="BD48" s="101"/>
      <c r="BE48" s="101"/>
      <c r="BF48" s="101"/>
      <c r="BG48" s="101"/>
      <c r="BH48" s="101"/>
    </row>
    <row r="49" spans="1:60" s="102" customFormat="1" ht="6.75" customHeight="1">
      <c r="A49" s="74"/>
      <c r="B49" s="74"/>
      <c r="C49" s="74"/>
      <c r="D49" s="74"/>
      <c r="E49" s="74"/>
      <c r="F49" s="74"/>
      <c r="G49" s="74"/>
      <c r="H49" s="74"/>
      <c r="I49" s="74"/>
      <c r="J49" s="74"/>
      <c r="K49" s="74"/>
      <c r="L49" s="74"/>
      <c r="M49" s="74"/>
      <c r="N49" s="74"/>
      <c r="O49" s="74"/>
      <c r="P49" s="74"/>
      <c r="Q49" s="74"/>
      <c r="R49" s="74"/>
      <c r="S49" s="74"/>
      <c r="T49" s="74"/>
      <c r="U49" s="74"/>
      <c r="V49" s="74"/>
      <c r="W49" s="74"/>
      <c r="X49" s="74"/>
      <c r="Y49" s="74"/>
      <c r="Z49" s="74"/>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row>
    <row r="50" spans="1:60" s="89" customFormat="1" ht="13.5" customHeight="1">
      <c r="A50" s="74"/>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row>
    <row r="51" spans="1:60" s="89" customFormat="1" ht="10.5" customHeight="1">
      <c r="A51" s="74"/>
      <c r="B51" s="74"/>
      <c r="C51" s="74"/>
      <c r="D51" s="74"/>
      <c r="E51" s="74"/>
      <c r="F51" s="74"/>
      <c r="G51" s="74"/>
      <c r="H51" s="74"/>
      <c r="I51" s="74"/>
      <c r="J51" s="74"/>
      <c r="K51" s="74"/>
      <c r="L51" s="74"/>
      <c r="M51" s="74"/>
      <c r="N51" s="74"/>
      <c r="O51" s="74"/>
      <c r="P51" s="74"/>
      <c r="Q51" s="74"/>
      <c r="R51" s="74"/>
      <c r="S51" s="74"/>
      <c r="T51" s="74"/>
      <c r="U51" s="74"/>
      <c r="V51" s="74"/>
      <c r="W51" s="74"/>
      <c r="X51" s="74"/>
      <c r="Y51" s="74"/>
      <c r="Z51" s="7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row>
  </sheetData>
  <sheetProtection algorithmName="SHA-512" hashValue="SSRr9hj4Gs6ik/DwVhTQ+J54gg9gDj1qAAtLpXb4UUg8CkptWl/1EoLUX5bBdgcnwOLONRLEdVQtuoRE9d+MLA==" saltValue="7haMCocjHn6aQj5z3+RMFQ==" spinCount="100000" sheet="1" formatCells="0" formatColumns="0" formatRows="0"/>
  <dataConsolidate/>
  <mergeCells count="140">
    <mergeCell ref="D8:H8"/>
    <mergeCell ref="D9:R9"/>
    <mergeCell ref="A34:C34"/>
    <mergeCell ref="D34:Z34"/>
    <mergeCell ref="A19:N19"/>
    <mergeCell ref="O19:Z19"/>
    <mergeCell ref="A20:N20"/>
    <mergeCell ref="A21:Z21"/>
    <mergeCell ref="O17:T17"/>
    <mergeCell ref="U17:Z17"/>
    <mergeCell ref="O18:T18"/>
    <mergeCell ref="U18:Z18"/>
    <mergeCell ref="A18:L18"/>
    <mergeCell ref="M18:N18"/>
    <mergeCell ref="O20:Z20"/>
    <mergeCell ref="A14:L14"/>
    <mergeCell ref="M14:N14"/>
    <mergeCell ref="A15:L15"/>
    <mergeCell ref="M15:N15"/>
    <mergeCell ref="A16:L16"/>
    <mergeCell ref="M16:N16"/>
    <mergeCell ref="A17:L17"/>
    <mergeCell ref="M17:N17"/>
    <mergeCell ref="A11:N11"/>
    <mergeCell ref="A1:E5"/>
    <mergeCell ref="F1:Z1"/>
    <mergeCell ref="F2:Z2"/>
    <mergeCell ref="F3:Z3"/>
    <mergeCell ref="F4:P4"/>
    <mergeCell ref="Q4:Z4"/>
    <mergeCell ref="A10:N10"/>
    <mergeCell ref="O10:Z10"/>
    <mergeCell ref="S8:V8"/>
    <mergeCell ref="S6:V6"/>
    <mergeCell ref="W6:Z6"/>
    <mergeCell ref="S7:V7"/>
    <mergeCell ref="S9:V9"/>
    <mergeCell ref="A6:C6"/>
    <mergeCell ref="A7:C7"/>
    <mergeCell ref="F5:Z5"/>
    <mergeCell ref="W8:Z8"/>
    <mergeCell ref="L7:R7"/>
    <mergeCell ref="A8:C8"/>
    <mergeCell ref="A9:C9"/>
    <mergeCell ref="D6:R6"/>
    <mergeCell ref="I7:K7"/>
    <mergeCell ref="I8:K8"/>
    <mergeCell ref="D7:H7"/>
    <mergeCell ref="O11:Z11"/>
    <mergeCell ref="O15:T15"/>
    <mergeCell ref="U15:Z15"/>
    <mergeCell ref="O16:T16"/>
    <mergeCell ref="U16:Z16"/>
    <mergeCell ref="A13:N13"/>
    <mergeCell ref="O13:T13"/>
    <mergeCell ref="U13:Z13"/>
    <mergeCell ref="O14:T14"/>
    <mergeCell ref="U14:Z14"/>
    <mergeCell ref="O12:Z12"/>
    <mergeCell ref="A27:C27"/>
    <mergeCell ref="D27:F27"/>
    <mergeCell ref="G27:K27"/>
    <mergeCell ref="L27:P27"/>
    <mergeCell ref="A28:C28"/>
    <mergeCell ref="D28:F28"/>
    <mergeCell ref="G28:K28"/>
    <mergeCell ref="L28:P28"/>
    <mergeCell ref="A25:C25"/>
    <mergeCell ref="D25:F25"/>
    <mergeCell ref="G25:K25"/>
    <mergeCell ref="A26:C26"/>
    <mergeCell ref="D26:F26"/>
    <mergeCell ref="G26:K26"/>
    <mergeCell ref="L25:P25"/>
    <mergeCell ref="L26:P26"/>
    <mergeCell ref="A31:C31"/>
    <mergeCell ref="D31:F31"/>
    <mergeCell ref="A32:F32"/>
    <mergeCell ref="G32:K32"/>
    <mergeCell ref="L32:P32"/>
    <mergeCell ref="Q32:U32"/>
    <mergeCell ref="V32:Z32"/>
    <mergeCell ref="A29:C29"/>
    <mergeCell ref="D29:F29"/>
    <mergeCell ref="Q29:U29"/>
    <mergeCell ref="A30:C30"/>
    <mergeCell ref="D30:F30"/>
    <mergeCell ref="Q30:U30"/>
    <mergeCell ref="V31:Z31"/>
    <mergeCell ref="G29:K29"/>
    <mergeCell ref="G30:K30"/>
    <mergeCell ref="G31:K31"/>
    <mergeCell ref="L29:P29"/>
    <mergeCell ref="L30:P30"/>
    <mergeCell ref="L31:P31"/>
    <mergeCell ref="A40:Z40"/>
    <mergeCell ref="A41:Z41"/>
    <mergeCell ref="A42:Z42"/>
    <mergeCell ref="A33:Z33"/>
    <mergeCell ref="A35:Z35"/>
    <mergeCell ref="A36:E36"/>
    <mergeCell ref="T36:Z36"/>
    <mergeCell ref="T38:Z38"/>
    <mergeCell ref="T39:Z39"/>
    <mergeCell ref="T37:Z37"/>
    <mergeCell ref="L36:S36"/>
    <mergeCell ref="L37:S37"/>
    <mergeCell ref="L38:S38"/>
    <mergeCell ref="L39:S39"/>
    <mergeCell ref="F36:K36"/>
    <mergeCell ref="F37:K37"/>
    <mergeCell ref="F38:K38"/>
    <mergeCell ref="F39:K39"/>
    <mergeCell ref="A37:E37"/>
    <mergeCell ref="A38:E38"/>
    <mergeCell ref="A39:E39"/>
    <mergeCell ref="Q26:U26"/>
    <mergeCell ref="L8:R8"/>
    <mergeCell ref="W7:Z7"/>
    <mergeCell ref="W9:Z9"/>
    <mergeCell ref="Q27:U27"/>
    <mergeCell ref="Q28:U28"/>
    <mergeCell ref="Q25:U25"/>
    <mergeCell ref="Q31:U31"/>
    <mergeCell ref="V25:Z25"/>
    <mergeCell ref="V26:Z26"/>
    <mergeCell ref="V27:Z27"/>
    <mergeCell ref="V28:Z28"/>
    <mergeCell ref="V29:Z29"/>
    <mergeCell ref="V30:Z30"/>
    <mergeCell ref="A22:Z22"/>
    <mergeCell ref="A23:F23"/>
    <mergeCell ref="G23:Z23"/>
    <mergeCell ref="A24:C24"/>
    <mergeCell ref="D24:F24"/>
    <mergeCell ref="G24:K24"/>
    <mergeCell ref="L24:P24"/>
    <mergeCell ref="Q24:U24"/>
    <mergeCell ref="V24:Z24"/>
    <mergeCell ref="A12:N12"/>
  </mergeCells>
  <dataValidations count="1">
    <dataValidation type="list" allowBlank="1" showInputMessage="1" showErrorMessage="1" sqref="O11:Z11">
      <formula1>$AA$11:$AA$14</formula1>
    </dataValidation>
  </dataValidations>
  <printOptions horizontalCentered="1"/>
  <pageMargins left="0.59055118110236227" right="0.19685039370078741" top="0" bottom="0" header="0" footer="0.39370078740157483"/>
  <pageSetup orientation="portrait" r:id="rId1"/>
  <headerFooter scaleWithDoc="0">
    <oddHeader xml:space="preserve">&amp;L&amp;"Eurostile Extended,Regular Negrita"&amp;16
</oddHeader>
    <oddFooter>&amp;L&amp;6Calle 26 No. 57-41 Torre 8 Pisos 7-8 CEMSA - CP: 1113111            
Pbx: 3779555  - Información: Línea 195     
www.umv.gov.co111311&amp;C&amp;6PRO-FM-016
Página 1 de 1</oddFooter>
  </headerFooter>
  <ignoredErrors>
    <ignoredError sqref="N7:R7" unlocked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firmas!$A$2:$A$26</xm:f>
          </x14:formula1>
          <xm:sqref>F38:K38</xm:sqref>
        </x14:dataValidation>
        <x14:dataValidation type="list" allowBlank="1" showInputMessage="1" showErrorMessage="1">
          <x14:formula1>
            <xm:f>firmas!$A$28:$A$31</xm:f>
          </x14:formula1>
          <xm:sqref>L38:S38</xm:sqref>
        </x14:dataValidation>
        <x14:dataValidation type="list" allowBlank="1" showInputMessage="1" showErrorMessage="1">
          <x14:formula1>
            <xm:f>firmas!$A$33:$A$35</xm:f>
          </x14:formula1>
          <xm:sqref>T38:Z38</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V113"/>
  <sheetViews>
    <sheetView showGridLines="0" view="pageBreakPreview" zoomScaleSheetLayoutView="100" workbookViewId="0">
      <selection activeCell="F28" sqref="C28:H28"/>
    </sheetView>
  </sheetViews>
  <sheetFormatPr baseColWidth="10" defaultRowHeight="12.75"/>
  <cols>
    <col min="1" max="1" width="12.28515625" style="140" customWidth="1"/>
    <col min="2" max="5" width="12.28515625" style="147" customWidth="1"/>
    <col min="6" max="8" width="11.7109375" style="147" customWidth="1"/>
    <col min="9" max="9" width="16.28515625" style="147" customWidth="1"/>
    <col min="10" max="214" width="11.42578125" style="140"/>
    <col min="215" max="226" width="2.7109375" style="140" customWidth="1"/>
    <col min="227" max="228" width="6.140625" style="140" customWidth="1"/>
    <col min="229" max="237" width="2.7109375" style="140" customWidth="1"/>
    <col min="238" max="238" width="14.7109375" style="140" customWidth="1"/>
    <col min="239" max="239" width="6.28515625" style="140" customWidth="1"/>
    <col min="240" max="250" width="2.7109375" style="140" customWidth="1"/>
    <col min="251" max="251" width="25.42578125" style="140" customWidth="1"/>
    <col min="252" max="252" width="17.85546875" style="140" customWidth="1"/>
    <col min="253" max="253" width="15.85546875" style="140" customWidth="1"/>
    <col min="254" max="254" width="14.7109375" style="140" customWidth="1"/>
    <col min="255" max="255" width="15.85546875" style="140" customWidth="1"/>
    <col min="256" max="256" width="15" style="140" customWidth="1"/>
    <col min="257" max="257" width="18.140625" style="140" customWidth="1"/>
    <col min="258" max="258" width="22.42578125" style="140" customWidth="1"/>
    <col min="259" max="259" width="23.7109375" style="140" customWidth="1"/>
    <col min="260" max="260" width="14" style="140" customWidth="1"/>
    <col min="261" max="261" width="15" style="140" customWidth="1"/>
    <col min="262" max="262" width="21.28515625" style="140" customWidth="1"/>
    <col min="263" max="263" width="15.85546875" style="140" customWidth="1"/>
    <col min="264" max="264" width="18.28515625" style="140" customWidth="1"/>
    <col min="265" max="265" width="16.28515625" style="140" customWidth="1"/>
    <col min="266" max="470" width="11.42578125" style="140"/>
    <col min="471" max="482" width="2.7109375" style="140" customWidth="1"/>
    <col min="483" max="484" width="6.140625" style="140" customWidth="1"/>
    <col min="485" max="493" width="2.7109375" style="140" customWidth="1"/>
    <col min="494" max="494" width="14.7109375" style="140" customWidth="1"/>
    <col min="495" max="495" width="6.28515625" style="140" customWidth="1"/>
    <col min="496" max="506" width="2.7109375" style="140" customWidth="1"/>
    <col min="507" max="507" width="25.42578125" style="140" customWidth="1"/>
    <col min="508" max="508" width="17.85546875" style="140" customWidth="1"/>
    <col min="509" max="509" width="15.85546875" style="140" customWidth="1"/>
    <col min="510" max="510" width="14.7109375" style="140" customWidth="1"/>
    <col min="511" max="511" width="15.85546875" style="140" customWidth="1"/>
    <col min="512" max="512" width="15" style="140" customWidth="1"/>
    <col min="513" max="513" width="18.140625" style="140" customWidth="1"/>
    <col min="514" max="514" width="22.42578125" style="140" customWidth="1"/>
    <col min="515" max="515" width="23.7109375" style="140" customWidth="1"/>
    <col min="516" max="516" width="14" style="140" customWidth="1"/>
    <col min="517" max="517" width="15" style="140" customWidth="1"/>
    <col min="518" max="518" width="21.28515625" style="140" customWidth="1"/>
    <col min="519" max="519" width="15.85546875" style="140" customWidth="1"/>
    <col min="520" max="520" width="18.28515625" style="140" customWidth="1"/>
    <col min="521" max="521" width="16.28515625" style="140" customWidth="1"/>
    <col min="522" max="726" width="11.42578125" style="140"/>
    <col min="727" max="738" width="2.7109375" style="140" customWidth="1"/>
    <col min="739" max="740" width="6.140625" style="140" customWidth="1"/>
    <col min="741" max="749" width="2.7109375" style="140" customWidth="1"/>
    <col min="750" max="750" width="14.7109375" style="140" customWidth="1"/>
    <col min="751" max="751" width="6.28515625" style="140" customWidth="1"/>
    <col min="752" max="762" width="2.7109375" style="140" customWidth="1"/>
    <col min="763" max="763" width="25.42578125" style="140" customWidth="1"/>
    <col min="764" max="764" width="17.85546875" style="140" customWidth="1"/>
    <col min="765" max="765" width="15.85546875" style="140" customWidth="1"/>
    <col min="766" max="766" width="14.7109375" style="140" customWidth="1"/>
    <col min="767" max="767" width="15.85546875" style="140" customWidth="1"/>
    <col min="768" max="768" width="15" style="140" customWidth="1"/>
    <col min="769" max="769" width="18.140625" style="140" customWidth="1"/>
    <col min="770" max="770" width="22.42578125" style="140" customWidth="1"/>
    <col min="771" max="771" width="23.7109375" style="140" customWidth="1"/>
    <col min="772" max="772" width="14" style="140" customWidth="1"/>
    <col min="773" max="773" width="15" style="140" customWidth="1"/>
    <col min="774" max="774" width="21.28515625" style="140" customWidth="1"/>
    <col min="775" max="775" width="15.85546875" style="140" customWidth="1"/>
    <col min="776" max="776" width="18.28515625" style="140" customWidth="1"/>
    <col min="777" max="777" width="16.28515625" style="140" customWidth="1"/>
    <col min="778" max="982" width="11.42578125" style="140"/>
    <col min="983" max="994" width="2.7109375" style="140" customWidth="1"/>
    <col min="995" max="996" width="6.140625" style="140" customWidth="1"/>
    <col min="997" max="1005" width="2.7109375" style="140" customWidth="1"/>
    <col min="1006" max="1006" width="14.7109375" style="140" customWidth="1"/>
    <col min="1007" max="1007" width="6.28515625" style="140" customWidth="1"/>
    <col min="1008" max="1018" width="2.7109375" style="140" customWidth="1"/>
    <col min="1019" max="1019" width="25.42578125" style="140" customWidth="1"/>
    <col min="1020" max="1020" width="17.85546875" style="140" customWidth="1"/>
    <col min="1021" max="1021" width="15.85546875" style="140" customWidth="1"/>
    <col min="1022" max="1022" width="14.7109375" style="140" customWidth="1"/>
    <col min="1023" max="1023" width="15.85546875" style="140" customWidth="1"/>
    <col min="1024" max="1024" width="15" style="140" customWidth="1"/>
    <col min="1025" max="1025" width="18.140625" style="140" customWidth="1"/>
    <col min="1026" max="1026" width="22.42578125" style="140" customWidth="1"/>
    <col min="1027" max="1027" width="23.7109375" style="140" customWidth="1"/>
    <col min="1028" max="1028" width="14" style="140" customWidth="1"/>
    <col min="1029" max="1029" width="15" style="140" customWidth="1"/>
    <col min="1030" max="1030" width="21.28515625" style="140" customWidth="1"/>
    <col min="1031" max="1031" width="15.85546875" style="140" customWidth="1"/>
    <col min="1032" max="1032" width="18.28515625" style="140" customWidth="1"/>
    <col min="1033" max="1033" width="16.28515625" style="140" customWidth="1"/>
    <col min="1034" max="1238" width="11.42578125" style="140"/>
    <col min="1239" max="1250" width="2.7109375" style="140" customWidth="1"/>
    <col min="1251" max="1252" width="6.140625" style="140" customWidth="1"/>
    <col min="1253" max="1261" width="2.7109375" style="140" customWidth="1"/>
    <col min="1262" max="1262" width="14.7109375" style="140" customWidth="1"/>
    <col min="1263" max="1263" width="6.28515625" style="140" customWidth="1"/>
    <col min="1264" max="1274" width="2.7109375" style="140" customWidth="1"/>
    <col min="1275" max="1275" width="25.42578125" style="140" customWidth="1"/>
    <col min="1276" max="1276" width="17.85546875" style="140" customWidth="1"/>
    <col min="1277" max="1277" width="15.85546875" style="140" customWidth="1"/>
    <col min="1278" max="1278" width="14.7109375" style="140" customWidth="1"/>
    <col min="1279" max="1279" width="15.85546875" style="140" customWidth="1"/>
    <col min="1280" max="1280" width="15" style="140" customWidth="1"/>
    <col min="1281" max="1281" width="18.140625" style="140" customWidth="1"/>
    <col min="1282" max="1282" width="22.42578125" style="140" customWidth="1"/>
    <col min="1283" max="1283" width="23.7109375" style="140" customWidth="1"/>
    <col min="1284" max="1284" width="14" style="140" customWidth="1"/>
    <col min="1285" max="1285" width="15" style="140" customWidth="1"/>
    <col min="1286" max="1286" width="21.28515625" style="140" customWidth="1"/>
    <col min="1287" max="1287" width="15.85546875" style="140" customWidth="1"/>
    <col min="1288" max="1288" width="18.28515625" style="140" customWidth="1"/>
    <col min="1289" max="1289" width="16.28515625" style="140" customWidth="1"/>
    <col min="1290" max="1494" width="11.42578125" style="140"/>
    <col min="1495" max="1506" width="2.7109375" style="140" customWidth="1"/>
    <col min="1507" max="1508" width="6.140625" style="140" customWidth="1"/>
    <col min="1509" max="1517" width="2.7109375" style="140" customWidth="1"/>
    <col min="1518" max="1518" width="14.7109375" style="140" customWidth="1"/>
    <col min="1519" max="1519" width="6.28515625" style="140" customWidth="1"/>
    <col min="1520" max="1530" width="2.7109375" style="140" customWidth="1"/>
    <col min="1531" max="1531" width="25.42578125" style="140" customWidth="1"/>
    <col min="1532" max="1532" width="17.85546875" style="140" customWidth="1"/>
    <col min="1533" max="1533" width="15.85546875" style="140" customWidth="1"/>
    <col min="1534" max="1534" width="14.7109375" style="140" customWidth="1"/>
    <col min="1535" max="1535" width="15.85546875" style="140" customWidth="1"/>
    <col min="1536" max="1536" width="15" style="140" customWidth="1"/>
    <col min="1537" max="1537" width="18.140625" style="140" customWidth="1"/>
    <col min="1538" max="1538" width="22.42578125" style="140" customWidth="1"/>
    <col min="1539" max="1539" width="23.7109375" style="140" customWidth="1"/>
    <col min="1540" max="1540" width="14" style="140" customWidth="1"/>
    <col min="1541" max="1541" width="15" style="140" customWidth="1"/>
    <col min="1542" max="1542" width="21.28515625" style="140" customWidth="1"/>
    <col min="1543" max="1543" width="15.85546875" style="140" customWidth="1"/>
    <col min="1544" max="1544" width="18.28515625" style="140" customWidth="1"/>
    <col min="1545" max="1545" width="16.28515625" style="140" customWidth="1"/>
    <col min="1546" max="1750" width="11.42578125" style="140"/>
    <col min="1751" max="1762" width="2.7109375" style="140" customWidth="1"/>
    <col min="1763" max="1764" width="6.140625" style="140" customWidth="1"/>
    <col min="1765" max="1773" width="2.7109375" style="140" customWidth="1"/>
    <col min="1774" max="1774" width="14.7109375" style="140" customWidth="1"/>
    <col min="1775" max="1775" width="6.28515625" style="140" customWidth="1"/>
    <col min="1776" max="1786" width="2.7109375" style="140" customWidth="1"/>
    <col min="1787" max="1787" width="25.42578125" style="140" customWidth="1"/>
    <col min="1788" max="1788" width="17.85546875" style="140" customWidth="1"/>
    <col min="1789" max="1789" width="15.85546875" style="140" customWidth="1"/>
    <col min="1790" max="1790" width="14.7109375" style="140" customWidth="1"/>
    <col min="1791" max="1791" width="15.85546875" style="140" customWidth="1"/>
    <col min="1792" max="1792" width="15" style="140" customWidth="1"/>
    <col min="1793" max="1793" width="18.140625" style="140" customWidth="1"/>
    <col min="1794" max="1794" width="22.42578125" style="140" customWidth="1"/>
    <col min="1795" max="1795" width="23.7109375" style="140" customWidth="1"/>
    <col min="1796" max="1796" width="14" style="140" customWidth="1"/>
    <col min="1797" max="1797" width="15" style="140" customWidth="1"/>
    <col min="1798" max="1798" width="21.28515625" style="140" customWidth="1"/>
    <col min="1799" max="1799" width="15.85546875" style="140" customWidth="1"/>
    <col min="1800" max="1800" width="18.28515625" style="140" customWidth="1"/>
    <col min="1801" max="1801" width="16.28515625" style="140" customWidth="1"/>
    <col min="1802" max="2006" width="11.42578125" style="140"/>
    <col min="2007" max="2018" width="2.7109375" style="140" customWidth="1"/>
    <col min="2019" max="2020" width="6.140625" style="140" customWidth="1"/>
    <col min="2021" max="2029" width="2.7109375" style="140" customWidth="1"/>
    <col min="2030" max="2030" width="14.7109375" style="140" customWidth="1"/>
    <col min="2031" max="2031" width="6.28515625" style="140" customWidth="1"/>
    <col min="2032" max="2042" width="2.7109375" style="140" customWidth="1"/>
    <col min="2043" max="2043" width="25.42578125" style="140" customWidth="1"/>
    <col min="2044" max="2044" width="17.85546875" style="140" customWidth="1"/>
    <col min="2045" max="2045" width="15.85546875" style="140" customWidth="1"/>
    <col min="2046" max="2046" width="14.7109375" style="140" customWidth="1"/>
    <col min="2047" max="2047" width="15.85546875" style="140" customWidth="1"/>
    <col min="2048" max="2048" width="15" style="140" customWidth="1"/>
    <col min="2049" max="2049" width="18.140625" style="140" customWidth="1"/>
    <col min="2050" max="2050" width="22.42578125" style="140" customWidth="1"/>
    <col min="2051" max="2051" width="23.7109375" style="140" customWidth="1"/>
    <col min="2052" max="2052" width="14" style="140" customWidth="1"/>
    <col min="2053" max="2053" width="15" style="140" customWidth="1"/>
    <col min="2054" max="2054" width="21.28515625" style="140" customWidth="1"/>
    <col min="2055" max="2055" width="15.85546875" style="140" customWidth="1"/>
    <col min="2056" max="2056" width="18.28515625" style="140" customWidth="1"/>
    <col min="2057" max="2057" width="16.28515625" style="140" customWidth="1"/>
    <col min="2058" max="2262" width="11.42578125" style="140"/>
    <col min="2263" max="2274" width="2.7109375" style="140" customWidth="1"/>
    <col min="2275" max="2276" width="6.140625" style="140" customWidth="1"/>
    <col min="2277" max="2285" width="2.7109375" style="140" customWidth="1"/>
    <col min="2286" max="2286" width="14.7109375" style="140" customWidth="1"/>
    <col min="2287" max="2287" width="6.28515625" style="140" customWidth="1"/>
    <col min="2288" max="2298" width="2.7109375" style="140" customWidth="1"/>
    <col min="2299" max="2299" width="25.42578125" style="140" customWidth="1"/>
    <col min="2300" max="2300" width="17.85546875" style="140" customWidth="1"/>
    <col min="2301" max="2301" width="15.85546875" style="140" customWidth="1"/>
    <col min="2302" max="2302" width="14.7109375" style="140" customWidth="1"/>
    <col min="2303" max="2303" width="15.85546875" style="140" customWidth="1"/>
    <col min="2304" max="2304" width="15" style="140" customWidth="1"/>
    <col min="2305" max="2305" width="18.140625" style="140" customWidth="1"/>
    <col min="2306" max="2306" width="22.42578125" style="140" customWidth="1"/>
    <col min="2307" max="2307" width="23.7109375" style="140" customWidth="1"/>
    <col min="2308" max="2308" width="14" style="140" customWidth="1"/>
    <col min="2309" max="2309" width="15" style="140" customWidth="1"/>
    <col min="2310" max="2310" width="21.28515625" style="140" customWidth="1"/>
    <col min="2311" max="2311" width="15.85546875" style="140" customWidth="1"/>
    <col min="2312" max="2312" width="18.28515625" style="140" customWidth="1"/>
    <col min="2313" max="2313" width="16.28515625" style="140" customWidth="1"/>
    <col min="2314" max="2518" width="11.42578125" style="140"/>
    <col min="2519" max="2530" width="2.7109375" style="140" customWidth="1"/>
    <col min="2531" max="2532" width="6.140625" style="140" customWidth="1"/>
    <col min="2533" max="2541" width="2.7109375" style="140" customWidth="1"/>
    <col min="2542" max="2542" width="14.7109375" style="140" customWidth="1"/>
    <col min="2543" max="2543" width="6.28515625" style="140" customWidth="1"/>
    <col min="2544" max="2554" width="2.7109375" style="140" customWidth="1"/>
    <col min="2555" max="2555" width="25.42578125" style="140" customWidth="1"/>
    <col min="2556" max="2556" width="17.85546875" style="140" customWidth="1"/>
    <col min="2557" max="2557" width="15.85546875" style="140" customWidth="1"/>
    <col min="2558" max="2558" width="14.7109375" style="140" customWidth="1"/>
    <col min="2559" max="2559" width="15.85546875" style="140" customWidth="1"/>
    <col min="2560" max="2560" width="15" style="140" customWidth="1"/>
    <col min="2561" max="2561" width="18.140625" style="140" customWidth="1"/>
    <col min="2562" max="2562" width="22.42578125" style="140" customWidth="1"/>
    <col min="2563" max="2563" width="23.7109375" style="140" customWidth="1"/>
    <col min="2564" max="2564" width="14" style="140" customWidth="1"/>
    <col min="2565" max="2565" width="15" style="140" customWidth="1"/>
    <col min="2566" max="2566" width="21.28515625" style="140" customWidth="1"/>
    <col min="2567" max="2567" width="15.85546875" style="140" customWidth="1"/>
    <col min="2568" max="2568" width="18.28515625" style="140" customWidth="1"/>
    <col min="2569" max="2569" width="16.28515625" style="140" customWidth="1"/>
    <col min="2570" max="2774" width="11.42578125" style="140"/>
    <col min="2775" max="2786" width="2.7109375" style="140" customWidth="1"/>
    <col min="2787" max="2788" width="6.140625" style="140" customWidth="1"/>
    <col min="2789" max="2797" width="2.7109375" style="140" customWidth="1"/>
    <col min="2798" max="2798" width="14.7109375" style="140" customWidth="1"/>
    <col min="2799" max="2799" width="6.28515625" style="140" customWidth="1"/>
    <col min="2800" max="2810" width="2.7109375" style="140" customWidth="1"/>
    <col min="2811" max="2811" width="25.42578125" style="140" customWidth="1"/>
    <col min="2812" max="2812" width="17.85546875" style="140" customWidth="1"/>
    <col min="2813" max="2813" width="15.85546875" style="140" customWidth="1"/>
    <col min="2814" max="2814" width="14.7109375" style="140" customWidth="1"/>
    <col min="2815" max="2815" width="15.85546875" style="140" customWidth="1"/>
    <col min="2816" max="2816" width="15" style="140" customWidth="1"/>
    <col min="2817" max="2817" width="18.140625" style="140" customWidth="1"/>
    <col min="2818" max="2818" width="22.42578125" style="140" customWidth="1"/>
    <col min="2819" max="2819" width="23.7109375" style="140" customWidth="1"/>
    <col min="2820" max="2820" width="14" style="140" customWidth="1"/>
    <col min="2821" max="2821" width="15" style="140" customWidth="1"/>
    <col min="2822" max="2822" width="21.28515625" style="140" customWidth="1"/>
    <col min="2823" max="2823" width="15.85546875" style="140" customWidth="1"/>
    <col min="2824" max="2824" width="18.28515625" style="140" customWidth="1"/>
    <col min="2825" max="2825" width="16.28515625" style="140" customWidth="1"/>
    <col min="2826" max="3030" width="11.42578125" style="140"/>
    <col min="3031" max="3042" width="2.7109375" style="140" customWidth="1"/>
    <col min="3043" max="3044" width="6.140625" style="140" customWidth="1"/>
    <col min="3045" max="3053" width="2.7109375" style="140" customWidth="1"/>
    <col min="3054" max="3054" width="14.7109375" style="140" customWidth="1"/>
    <col min="3055" max="3055" width="6.28515625" style="140" customWidth="1"/>
    <col min="3056" max="3066" width="2.7109375" style="140" customWidth="1"/>
    <col min="3067" max="3067" width="25.42578125" style="140" customWidth="1"/>
    <col min="3068" max="3068" width="17.85546875" style="140" customWidth="1"/>
    <col min="3069" max="3069" width="15.85546875" style="140" customWidth="1"/>
    <col min="3070" max="3070" width="14.7109375" style="140" customWidth="1"/>
    <col min="3071" max="3071" width="15.85546875" style="140" customWidth="1"/>
    <col min="3072" max="3072" width="15" style="140" customWidth="1"/>
    <col min="3073" max="3073" width="18.140625" style="140" customWidth="1"/>
    <col min="3074" max="3074" width="22.42578125" style="140" customWidth="1"/>
    <col min="3075" max="3075" width="23.7109375" style="140" customWidth="1"/>
    <col min="3076" max="3076" width="14" style="140" customWidth="1"/>
    <col min="3077" max="3077" width="15" style="140" customWidth="1"/>
    <col min="3078" max="3078" width="21.28515625" style="140" customWidth="1"/>
    <col min="3079" max="3079" width="15.85546875" style="140" customWidth="1"/>
    <col min="3080" max="3080" width="18.28515625" style="140" customWidth="1"/>
    <col min="3081" max="3081" width="16.28515625" style="140" customWidth="1"/>
    <col min="3082" max="3286" width="11.42578125" style="140"/>
    <col min="3287" max="3298" width="2.7109375" style="140" customWidth="1"/>
    <col min="3299" max="3300" width="6.140625" style="140" customWidth="1"/>
    <col min="3301" max="3309" width="2.7109375" style="140" customWidth="1"/>
    <col min="3310" max="3310" width="14.7109375" style="140" customWidth="1"/>
    <col min="3311" max="3311" width="6.28515625" style="140" customWidth="1"/>
    <col min="3312" max="3322" width="2.7109375" style="140" customWidth="1"/>
    <col min="3323" max="3323" width="25.42578125" style="140" customWidth="1"/>
    <col min="3324" max="3324" width="17.85546875" style="140" customWidth="1"/>
    <col min="3325" max="3325" width="15.85546875" style="140" customWidth="1"/>
    <col min="3326" max="3326" width="14.7109375" style="140" customWidth="1"/>
    <col min="3327" max="3327" width="15.85546875" style="140" customWidth="1"/>
    <col min="3328" max="3328" width="15" style="140" customWidth="1"/>
    <col min="3329" max="3329" width="18.140625" style="140" customWidth="1"/>
    <col min="3330" max="3330" width="22.42578125" style="140" customWidth="1"/>
    <col min="3331" max="3331" width="23.7109375" style="140" customWidth="1"/>
    <col min="3332" max="3332" width="14" style="140" customWidth="1"/>
    <col min="3333" max="3333" width="15" style="140" customWidth="1"/>
    <col min="3334" max="3334" width="21.28515625" style="140" customWidth="1"/>
    <col min="3335" max="3335" width="15.85546875" style="140" customWidth="1"/>
    <col min="3336" max="3336" width="18.28515625" style="140" customWidth="1"/>
    <col min="3337" max="3337" width="16.28515625" style="140" customWidth="1"/>
    <col min="3338" max="3542" width="11.42578125" style="140"/>
    <col min="3543" max="3554" width="2.7109375" style="140" customWidth="1"/>
    <col min="3555" max="3556" width="6.140625" style="140" customWidth="1"/>
    <col min="3557" max="3565" width="2.7109375" style="140" customWidth="1"/>
    <col min="3566" max="3566" width="14.7109375" style="140" customWidth="1"/>
    <col min="3567" max="3567" width="6.28515625" style="140" customWidth="1"/>
    <col min="3568" max="3578" width="2.7109375" style="140" customWidth="1"/>
    <col min="3579" max="3579" width="25.42578125" style="140" customWidth="1"/>
    <col min="3580" max="3580" width="17.85546875" style="140" customWidth="1"/>
    <col min="3581" max="3581" width="15.85546875" style="140" customWidth="1"/>
    <col min="3582" max="3582" width="14.7109375" style="140" customWidth="1"/>
    <col min="3583" max="3583" width="15.85546875" style="140" customWidth="1"/>
    <col min="3584" max="3584" width="15" style="140" customWidth="1"/>
    <col min="3585" max="3585" width="18.140625" style="140" customWidth="1"/>
    <col min="3586" max="3586" width="22.42578125" style="140" customWidth="1"/>
    <col min="3587" max="3587" width="23.7109375" style="140" customWidth="1"/>
    <col min="3588" max="3588" width="14" style="140" customWidth="1"/>
    <col min="3589" max="3589" width="15" style="140" customWidth="1"/>
    <col min="3590" max="3590" width="21.28515625" style="140" customWidth="1"/>
    <col min="3591" max="3591" width="15.85546875" style="140" customWidth="1"/>
    <col min="3592" max="3592" width="18.28515625" style="140" customWidth="1"/>
    <col min="3593" max="3593" width="16.28515625" style="140" customWidth="1"/>
    <col min="3594" max="3798" width="11.42578125" style="140"/>
    <col min="3799" max="3810" width="2.7109375" style="140" customWidth="1"/>
    <col min="3811" max="3812" width="6.140625" style="140" customWidth="1"/>
    <col min="3813" max="3821" width="2.7109375" style="140" customWidth="1"/>
    <col min="3822" max="3822" width="14.7109375" style="140" customWidth="1"/>
    <col min="3823" max="3823" width="6.28515625" style="140" customWidth="1"/>
    <col min="3824" max="3834" width="2.7109375" style="140" customWidth="1"/>
    <col min="3835" max="3835" width="25.42578125" style="140" customWidth="1"/>
    <col min="3836" max="3836" width="17.85546875" style="140" customWidth="1"/>
    <col min="3837" max="3837" width="15.85546875" style="140" customWidth="1"/>
    <col min="3838" max="3838" width="14.7109375" style="140" customWidth="1"/>
    <col min="3839" max="3839" width="15.85546875" style="140" customWidth="1"/>
    <col min="3840" max="3840" width="15" style="140" customWidth="1"/>
    <col min="3841" max="3841" width="18.140625" style="140" customWidth="1"/>
    <col min="3842" max="3842" width="22.42578125" style="140" customWidth="1"/>
    <col min="3843" max="3843" width="23.7109375" style="140" customWidth="1"/>
    <col min="3844" max="3844" width="14" style="140" customWidth="1"/>
    <col min="3845" max="3845" width="15" style="140" customWidth="1"/>
    <col min="3846" max="3846" width="21.28515625" style="140" customWidth="1"/>
    <col min="3847" max="3847" width="15.85546875" style="140" customWidth="1"/>
    <col min="3848" max="3848" width="18.28515625" style="140" customWidth="1"/>
    <col min="3849" max="3849" width="16.28515625" style="140" customWidth="1"/>
    <col min="3850" max="4054" width="11.42578125" style="140"/>
    <col min="4055" max="4066" width="2.7109375" style="140" customWidth="1"/>
    <col min="4067" max="4068" width="6.140625" style="140" customWidth="1"/>
    <col min="4069" max="4077" width="2.7109375" style="140" customWidth="1"/>
    <col min="4078" max="4078" width="14.7109375" style="140" customWidth="1"/>
    <col min="4079" max="4079" width="6.28515625" style="140" customWidth="1"/>
    <col min="4080" max="4090" width="2.7109375" style="140" customWidth="1"/>
    <col min="4091" max="4091" width="25.42578125" style="140" customWidth="1"/>
    <col min="4092" max="4092" width="17.85546875" style="140" customWidth="1"/>
    <col min="4093" max="4093" width="15.85546875" style="140" customWidth="1"/>
    <col min="4094" max="4094" width="14.7109375" style="140" customWidth="1"/>
    <col min="4095" max="4095" width="15.85546875" style="140" customWidth="1"/>
    <col min="4096" max="4096" width="15" style="140" customWidth="1"/>
    <col min="4097" max="4097" width="18.140625" style="140" customWidth="1"/>
    <col min="4098" max="4098" width="22.42578125" style="140" customWidth="1"/>
    <col min="4099" max="4099" width="23.7109375" style="140" customWidth="1"/>
    <col min="4100" max="4100" width="14" style="140" customWidth="1"/>
    <col min="4101" max="4101" width="15" style="140" customWidth="1"/>
    <col min="4102" max="4102" width="21.28515625" style="140" customWidth="1"/>
    <col min="4103" max="4103" width="15.85546875" style="140" customWidth="1"/>
    <col min="4104" max="4104" width="18.28515625" style="140" customWidth="1"/>
    <col min="4105" max="4105" width="16.28515625" style="140" customWidth="1"/>
    <col min="4106" max="4310" width="11.42578125" style="140"/>
    <col min="4311" max="4322" width="2.7109375" style="140" customWidth="1"/>
    <col min="4323" max="4324" width="6.140625" style="140" customWidth="1"/>
    <col min="4325" max="4333" width="2.7109375" style="140" customWidth="1"/>
    <col min="4334" max="4334" width="14.7109375" style="140" customWidth="1"/>
    <col min="4335" max="4335" width="6.28515625" style="140" customWidth="1"/>
    <col min="4336" max="4346" width="2.7109375" style="140" customWidth="1"/>
    <col min="4347" max="4347" width="25.42578125" style="140" customWidth="1"/>
    <col min="4348" max="4348" width="17.85546875" style="140" customWidth="1"/>
    <col min="4349" max="4349" width="15.85546875" style="140" customWidth="1"/>
    <col min="4350" max="4350" width="14.7109375" style="140" customWidth="1"/>
    <col min="4351" max="4351" width="15.85546875" style="140" customWidth="1"/>
    <col min="4352" max="4352" width="15" style="140" customWidth="1"/>
    <col min="4353" max="4353" width="18.140625" style="140" customWidth="1"/>
    <col min="4354" max="4354" width="22.42578125" style="140" customWidth="1"/>
    <col min="4355" max="4355" width="23.7109375" style="140" customWidth="1"/>
    <col min="4356" max="4356" width="14" style="140" customWidth="1"/>
    <col min="4357" max="4357" width="15" style="140" customWidth="1"/>
    <col min="4358" max="4358" width="21.28515625" style="140" customWidth="1"/>
    <col min="4359" max="4359" width="15.85546875" style="140" customWidth="1"/>
    <col min="4360" max="4360" width="18.28515625" style="140" customWidth="1"/>
    <col min="4361" max="4361" width="16.28515625" style="140" customWidth="1"/>
    <col min="4362" max="4566" width="11.42578125" style="140"/>
    <col min="4567" max="4578" width="2.7109375" style="140" customWidth="1"/>
    <col min="4579" max="4580" width="6.140625" style="140" customWidth="1"/>
    <col min="4581" max="4589" width="2.7109375" style="140" customWidth="1"/>
    <col min="4590" max="4590" width="14.7109375" style="140" customWidth="1"/>
    <col min="4591" max="4591" width="6.28515625" style="140" customWidth="1"/>
    <col min="4592" max="4602" width="2.7109375" style="140" customWidth="1"/>
    <col min="4603" max="4603" width="25.42578125" style="140" customWidth="1"/>
    <col min="4604" max="4604" width="17.85546875" style="140" customWidth="1"/>
    <col min="4605" max="4605" width="15.85546875" style="140" customWidth="1"/>
    <col min="4606" max="4606" width="14.7109375" style="140" customWidth="1"/>
    <col min="4607" max="4607" width="15.85546875" style="140" customWidth="1"/>
    <col min="4608" max="4608" width="15" style="140" customWidth="1"/>
    <col min="4609" max="4609" width="18.140625" style="140" customWidth="1"/>
    <col min="4610" max="4610" width="22.42578125" style="140" customWidth="1"/>
    <col min="4611" max="4611" width="23.7109375" style="140" customWidth="1"/>
    <col min="4612" max="4612" width="14" style="140" customWidth="1"/>
    <col min="4613" max="4613" width="15" style="140" customWidth="1"/>
    <col min="4614" max="4614" width="21.28515625" style="140" customWidth="1"/>
    <col min="4615" max="4615" width="15.85546875" style="140" customWidth="1"/>
    <col min="4616" max="4616" width="18.28515625" style="140" customWidth="1"/>
    <col min="4617" max="4617" width="16.28515625" style="140" customWidth="1"/>
    <col min="4618" max="4822" width="11.42578125" style="140"/>
    <col min="4823" max="4834" width="2.7109375" style="140" customWidth="1"/>
    <col min="4835" max="4836" width="6.140625" style="140" customWidth="1"/>
    <col min="4837" max="4845" width="2.7109375" style="140" customWidth="1"/>
    <col min="4846" max="4846" width="14.7109375" style="140" customWidth="1"/>
    <col min="4847" max="4847" width="6.28515625" style="140" customWidth="1"/>
    <col min="4848" max="4858" width="2.7109375" style="140" customWidth="1"/>
    <col min="4859" max="4859" width="25.42578125" style="140" customWidth="1"/>
    <col min="4860" max="4860" width="17.85546875" style="140" customWidth="1"/>
    <col min="4861" max="4861" width="15.85546875" style="140" customWidth="1"/>
    <col min="4862" max="4862" width="14.7109375" style="140" customWidth="1"/>
    <col min="4863" max="4863" width="15.85546875" style="140" customWidth="1"/>
    <col min="4864" max="4864" width="15" style="140" customWidth="1"/>
    <col min="4865" max="4865" width="18.140625" style="140" customWidth="1"/>
    <col min="4866" max="4866" width="22.42578125" style="140" customWidth="1"/>
    <col min="4867" max="4867" width="23.7109375" style="140" customWidth="1"/>
    <col min="4868" max="4868" width="14" style="140" customWidth="1"/>
    <col min="4869" max="4869" width="15" style="140" customWidth="1"/>
    <col min="4870" max="4870" width="21.28515625" style="140" customWidth="1"/>
    <col min="4871" max="4871" width="15.85546875" style="140" customWidth="1"/>
    <col min="4872" max="4872" width="18.28515625" style="140" customWidth="1"/>
    <col min="4873" max="4873" width="16.28515625" style="140" customWidth="1"/>
    <col min="4874" max="5078" width="11.42578125" style="140"/>
    <col min="5079" max="5090" width="2.7109375" style="140" customWidth="1"/>
    <col min="5091" max="5092" width="6.140625" style="140" customWidth="1"/>
    <col min="5093" max="5101" width="2.7109375" style="140" customWidth="1"/>
    <col min="5102" max="5102" width="14.7109375" style="140" customWidth="1"/>
    <col min="5103" max="5103" width="6.28515625" style="140" customWidth="1"/>
    <col min="5104" max="5114" width="2.7109375" style="140" customWidth="1"/>
    <col min="5115" max="5115" width="25.42578125" style="140" customWidth="1"/>
    <col min="5116" max="5116" width="17.85546875" style="140" customWidth="1"/>
    <col min="5117" max="5117" width="15.85546875" style="140" customWidth="1"/>
    <col min="5118" max="5118" width="14.7109375" style="140" customWidth="1"/>
    <col min="5119" max="5119" width="15.85546875" style="140" customWidth="1"/>
    <col min="5120" max="5120" width="15" style="140" customWidth="1"/>
    <col min="5121" max="5121" width="18.140625" style="140" customWidth="1"/>
    <col min="5122" max="5122" width="22.42578125" style="140" customWidth="1"/>
    <col min="5123" max="5123" width="23.7109375" style="140" customWidth="1"/>
    <col min="5124" max="5124" width="14" style="140" customWidth="1"/>
    <col min="5125" max="5125" width="15" style="140" customWidth="1"/>
    <col min="5126" max="5126" width="21.28515625" style="140" customWidth="1"/>
    <col min="5127" max="5127" width="15.85546875" style="140" customWidth="1"/>
    <col min="5128" max="5128" width="18.28515625" style="140" customWidth="1"/>
    <col min="5129" max="5129" width="16.28515625" style="140" customWidth="1"/>
    <col min="5130" max="5334" width="11.42578125" style="140"/>
    <col min="5335" max="5346" width="2.7109375" style="140" customWidth="1"/>
    <col min="5347" max="5348" width="6.140625" style="140" customWidth="1"/>
    <col min="5349" max="5357" width="2.7109375" style="140" customWidth="1"/>
    <col min="5358" max="5358" width="14.7109375" style="140" customWidth="1"/>
    <col min="5359" max="5359" width="6.28515625" style="140" customWidth="1"/>
    <col min="5360" max="5370" width="2.7109375" style="140" customWidth="1"/>
    <col min="5371" max="5371" width="25.42578125" style="140" customWidth="1"/>
    <col min="5372" max="5372" width="17.85546875" style="140" customWidth="1"/>
    <col min="5373" max="5373" width="15.85546875" style="140" customWidth="1"/>
    <col min="5374" max="5374" width="14.7109375" style="140" customWidth="1"/>
    <col min="5375" max="5375" width="15.85546875" style="140" customWidth="1"/>
    <col min="5376" max="5376" width="15" style="140" customWidth="1"/>
    <col min="5377" max="5377" width="18.140625" style="140" customWidth="1"/>
    <col min="5378" max="5378" width="22.42578125" style="140" customWidth="1"/>
    <col min="5379" max="5379" width="23.7109375" style="140" customWidth="1"/>
    <col min="5380" max="5380" width="14" style="140" customWidth="1"/>
    <col min="5381" max="5381" width="15" style="140" customWidth="1"/>
    <col min="5382" max="5382" width="21.28515625" style="140" customWidth="1"/>
    <col min="5383" max="5383" width="15.85546875" style="140" customWidth="1"/>
    <col min="5384" max="5384" width="18.28515625" style="140" customWidth="1"/>
    <col min="5385" max="5385" width="16.28515625" style="140" customWidth="1"/>
    <col min="5386" max="5590" width="11.42578125" style="140"/>
    <col min="5591" max="5602" width="2.7109375" style="140" customWidth="1"/>
    <col min="5603" max="5604" width="6.140625" style="140" customWidth="1"/>
    <col min="5605" max="5613" width="2.7109375" style="140" customWidth="1"/>
    <col min="5614" max="5614" width="14.7109375" style="140" customWidth="1"/>
    <col min="5615" max="5615" width="6.28515625" style="140" customWidth="1"/>
    <col min="5616" max="5626" width="2.7109375" style="140" customWidth="1"/>
    <col min="5627" max="5627" width="25.42578125" style="140" customWidth="1"/>
    <col min="5628" max="5628" width="17.85546875" style="140" customWidth="1"/>
    <col min="5629" max="5629" width="15.85546875" style="140" customWidth="1"/>
    <col min="5630" max="5630" width="14.7109375" style="140" customWidth="1"/>
    <col min="5631" max="5631" width="15.85546875" style="140" customWidth="1"/>
    <col min="5632" max="5632" width="15" style="140" customWidth="1"/>
    <col min="5633" max="5633" width="18.140625" style="140" customWidth="1"/>
    <col min="5634" max="5634" width="22.42578125" style="140" customWidth="1"/>
    <col min="5635" max="5635" width="23.7109375" style="140" customWidth="1"/>
    <col min="5636" max="5636" width="14" style="140" customWidth="1"/>
    <col min="5637" max="5637" width="15" style="140" customWidth="1"/>
    <col min="5638" max="5638" width="21.28515625" style="140" customWidth="1"/>
    <col min="5639" max="5639" width="15.85546875" style="140" customWidth="1"/>
    <col min="5640" max="5640" width="18.28515625" style="140" customWidth="1"/>
    <col min="5641" max="5641" width="16.28515625" style="140" customWidth="1"/>
    <col min="5642" max="5846" width="11.42578125" style="140"/>
    <col min="5847" max="5858" width="2.7109375" style="140" customWidth="1"/>
    <col min="5859" max="5860" width="6.140625" style="140" customWidth="1"/>
    <col min="5861" max="5869" width="2.7109375" style="140" customWidth="1"/>
    <col min="5870" max="5870" width="14.7109375" style="140" customWidth="1"/>
    <col min="5871" max="5871" width="6.28515625" style="140" customWidth="1"/>
    <col min="5872" max="5882" width="2.7109375" style="140" customWidth="1"/>
    <col min="5883" max="5883" width="25.42578125" style="140" customWidth="1"/>
    <col min="5884" max="5884" width="17.85546875" style="140" customWidth="1"/>
    <col min="5885" max="5885" width="15.85546875" style="140" customWidth="1"/>
    <col min="5886" max="5886" width="14.7109375" style="140" customWidth="1"/>
    <col min="5887" max="5887" width="15.85546875" style="140" customWidth="1"/>
    <col min="5888" max="5888" width="15" style="140" customWidth="1"/>
    <col min="5889" max="5889" width="18.140625" style="140" customWidth="1"/>
    <col min="5890" max="5890" width="22.42578125" style="140" customWidth="1"/>
    <col min="5891" max="5891" width="23.7109375" style="140" customWidth="1"/>
    <col min="5892" max="5892" width="14" style="140" customWidth="1"/>
    <col min="5893" max="5893" width="15" style="140" customWidth="1"/>
    <col min="5894" max="5894" width="21.28515625" style="140" customWidth="1"/>
    <col min="5895" max="5895" width="15.85546875" style="140" customWidth="1"/>
    <col min="5896" max="5896" width="18.28515625" style="140" customWidth="1"/>
    <col min="5897" max="5897" width="16.28515625" style="140" customWidth="1"/>
    <col min="5898" max="6102" width="11.42578125" style="140"/>
    <col min="6103" max="6114" width="2.7109375" style="140" customWidth="1"/>
    <col min="6115" max="6116" width="6.140625" style="140" customWidth="1"/>
    <col min="6117" max="6125" width="2.7109375" style="140" customWidth="1"/>
    <col min="6126" max="6126" width="14.7109375" style="140" customWidth="1"/>
    <col min="6127" max="6127" width="6.28515625" style="140" customWidth="1"/>
    <col min="6128" max="6138" width="2.7109375" style="140" customWidth="1"/>
    <col min="6139" max="6139" width="25.42578125" style="140" customWidth="1"/>
    <col min="6140" max="6140" width="17.85546875" style="140" customWidth="1"/>
    <col min="6141" max="6141" width="15.85546875" style="140" customWidth="1"/>
    <col min="6142" max="6142" width="14.7109375" style="140" customWidth="1"/>
    <col min="6143" max="6143" width="15.85546875" style="140" customWidth="1"/>
    <col min="6144" max="6144" width="15" style="140" customWidth="1"/>
    <col min="6145" max="6145" width="18.140625" style="140" customWidth="1"/>
    <col min="6146" max="6146" width="22.42578125" style="140" customWidth="1"/>
    <col min="6147" max="6147" width="23.7109375" style="140" customWidth="1"/>
    <col min="6148" max="6148" width="14" style="140" customWidth="1"/>
    <col min="6149" max="6149" width="15" style="140" customWidth="1"/>
    <col min="6150" max="6150" width="21.28515625" style="140" customWidth="1"/>
    <col min="6151" max="6151" width="15.85546875" style="140" customWidth="1"/>
    <col min="6152" max="6152" width="18.28515625" style="140" customWidth="1"/>
    <col min="6153" max="6153" width="16.28515625" style="140" customWidth="1"/>
    <col min="6154" max="6358" width="11.42578125" style="140"/>
    <col min="6359" max="6370" width="2.7109375" style="140" customWidth="1"/>
    <col min="6371" max="6372" width="6.140625" style="140" customWidth="1"/>
    <col min="6373" max="6381" width="2.7109375" style="140" customWidth="1"/>
    <col min="6382" max="6382" width="14.7109375" style="140" customWidth="1"/>
    <col min="6383" max="6383" width="6.28515625" style="140" customWidth="1"/>
    <col min="6384" max="6394" width="2.7109375" style="140" customWidth="1"/>
    <col min="6395" max="6395" width="25.42578125" style="140" customWidth="1"/>
    <col min="6396" max="6396" width="17.85546875" style="140" customWidth="1"/>
    <col min="6397" max="6397" width="15.85546875" style="140" customWidth="1"/>
    <col min="6398" max="6398" width="14.7109375" style="140" customWidth="1"/>
    <col min="6399" max="6399" width="15.85546875" style="140" customWidth="1"/>
    <col min="6400" max="6400" width="15" style="140" customWidth="1"/>
    <col min="6401" max="6401" width="18.140625" style="140" customWidth="1"/>
    <col min="6402" max="6402" width="22.42578125" style="140" customWidth="1"/>
    <col min="6403" max="6403" width="23.7109375" style="140" customWidth="1"/>
    <col min="6404" max="6404" width="14" style="140" customWidth="1"/>
    <col min="6405" max="6405" width="15" style="140" customWidth="1"/>
    <col min="6406" max="6406" width="21.28515625" style="140" customWidth="1"/>
    <col min="6407" max="6407" width="15.85546875" style="140" customWidth="1"/>
    <col min="6408" max="6408" width="18.28515625" style="140" customWidth="1"/>
    <col min="6409" max="6409" width="16.28515625" style="140" customWidth="1"/>
    <col min="6410" max="6614" width="11.42578125" style="140"/>
    <col min="6615" max="6626" width="2.7109375" style="140" customWidth="1"/>
    <col min="6627" max="6628" width="6.140625" style="140" customWidth="1"/>
    <col min="6629" max="6637" width="2.7109375" style="140" customWidth="1"/>
    <col min="6638" max="6638" width="14.7109375" style="140" customWidth="1"/>
    <col min="6639" max="6639" width="6.28515625" style="140" customWidth="1"/>
    <col min="6640" max="6650" width="2.7109375" style="140" customWidth="1"/>
    <col min="6651" max="6651" width="25.42578125" style="140" customWidth="1"/>
    <col min="6652" max="6652" width="17.85546875" style="140" customWidth="1"/>
    <col min="6653" max="6653" width="15.85546875" style="140" customWidth="1"/>
    <col min="6654" max="6654" width="14.7109375" style="140" customWidth="1"/>
    <col min="6655" max="6655" width="15.85546875" style="140" customWidth="1"/>
    <col min="6656" max="6656" width="15" style="140" customWidth="1"/>
    <col min="6657" max="6657" width="18.140625" style="140" customWidth="1"/>
    <col min="6658" max="6658" width="22.42578125" style="140" customWidth="1"/>
    <col min="6659" max="6659" width="23.7109375" style="140" customWidth="1"/>
    <col min="6660" max="6660" width="14" style="140" customWidth="1"/>
    <col min="6661" max="6661" width="15" style="140" customWidth="1"/>
    <col min="6662" max="6662" width="21.28515625" style="140" customWidth="1"/>
    <col min="6663" max="6663" width="15.85546875" style="140" customWidth="1"/>
    <col min="6664" max="6664" width="18.28515625" style="140" customWidth="1"/>
    <col min="6665" max="6665" width="16.28515625" style="140" customWidth="1"/>
    <col min="6666" max="6870" width="11.42578125" style="140"/>
    <col min="6871" max="6882" width="2.7109375" style="140" customWidth="1"/>
    <col min="6883" max="6884" width="6.140625" style="140" customWidth="1"/>
    <col min="6885" max="6893" width="2.7109375" style="140" customWidth="1"/>
    <col min="6894" max="6894" width="14.7109375" style="140" customWidth="1"/>
    <col min="6895" max="6895" width="6.28515625" style="140" customWidth="1"/>
    <col min="6896" max="6906" width="2.7109375" style="140" customWidth="1"/>
    <col min="6907" max="6907" width="25.42578125" style="140" customWidth="1"/>
    <col min="6908" max="6908" width="17.85546875" style="140" customWidth="1"/>
    <col min="6909" max="6909" width="15.85546875" style="140" customWidth="1"/>
    <col min="6910" max="6910" width="14.7109375" style="140" customWidth="1"/>
    <col min="6911" max="6911" width="15.85546875" style="140" customWidth="1"/>
    <col min="6912" max="6912" width="15" style="140" customWidth="1"/>
    <col min="6913" max="6913" width="18.140625" style="140" customWidth="1"/>
    <col min="6914" max="6914" width="22.42578125" style="140" customWidth="1"/>
    <col min="6915" max="6915" width="23.7109375" style="140" customWidth="1"/>
    <col min="6916" max="6916" width="14" style="140" customWidth="1"/>
    <col min="6917" max="6917" width="15" style="140" customWidth="1"/>
    <col min="6918" max="6918" width="21.28515625" style="140" customWidth="1"/>
    <col min="6919" max="6919" width="15.85546875" style="140" customWidth="1"/>
    <col min="6920" max="6920" width="18.28515625" style="140" customWidth="1"/>
    <col min="6921" max="6921" width="16.28515625" style="140" customWidth="1"/>
    <col min="6922" max="7126" width="11.42578125" style="140"/>
    <col min="7127" max="7138" width="2.7109375" style="140" customWidth="1"/>
    <col min="7139" max="7140" width="6.140625" style="140" customWidth="1"/>
    <col min="7141" max="7149" width="2.7109375" style="140" customWidth="1"/>
    <col min="7150" max="7150" width="14.7109375" style="140" customWidth="1"/>
    <col min="7151" max="7151" width="6.28515625" style="140" customWidth="1"/>
    <col min="7152" max="7162" width="2.7109375" style="140" customWidth="1"/>
    <col min="7163" max="7163" width="25.42578125" style="140" customWidth="1"/>
    <col min="7164" max="7164" width="17.85546875" style="140" customWidth="1"/>
    <col min="7165" max="7165" width="15.85546875" style="140" customWidth="1"/>
    <col min="7166" max="7166" width="14.7109375" style="140" customWidth="1"/>
    <col min="7167" max="7167" width="15.85546875" style="140" customWidth="1"/>
    <col min="7168" max="7168" width="15" style="140" customWidth="1"/>
    <col min="7169" max="7169" width="18.140625" style="140" customWidth="1"/>
    <col min="7170" max="7170" width="22.42578125" style="140" customWidth="1"/>
    <col min="7171" max="7171" width="23.7109375" style="140" customWidth="1"/>
    <col min="7172" max="7172" width="14" style="140" customWidth="1"/>
    <col min="7173" max="7173" width="15" style="140" customWidth="1"/>
    <col min="7174" max="7174" width="21.28515625" style="140" customWidth="1"/>
    <col min="7175" max="7175" width="15.85546875" style="140" customWidth="1"/>
    <col min="7176" max="7176" width="18.28515625" style="140" customWidth="1"/>
    <col min="7177" max="7177" width="16.28515625" style="140" customWidth="1"/>
    <col min="7178" max="7382" width="11.42578125" style="140"/>
    <col min="7383" max="7394" width="2.7109375" style="140" customWidth="1"/>
    <col min="7395" max="7396" width="6.140625" style="140" customWidth="1"/>
    <col min="7397" max="7405" width="2.7109375" style="140" customWidth="1"/>
    <col min="7406" max="7406" width="14.7109375" style="140" customWidth="1"/>
    <col min="7407" max="7407" width="6.28515625" style="140" customWidth="1"/>
    <col min="7408" max="7418" width="2.7109375" style="140" customWidth="1"/>
    <col min="7419" max="7419" width="25.42578125" style="140" customWidth="1"/>
    <col min="7420" max="7420" width="17.85546875" style="140" customWidth="1"/>
    <col min="7421" max="7421" width="15.85546875" style="140" customWidth="1"/>
    <col min="7422" max="7422" width="14.7109375" style="140" customWidth="1"/>
    <col min="7423" max="7423" width="15.85546875" style="140" customWidth="1"/>
    <col min="7424" max="7424" width="15" style="140" customWidth="1"/>
    <col min="7425" max="7425" width="18.140625" style="140" customWidth="1"/>
    <col min="7426" max="7426" width="22.42578125" style="140" customWidth="1"/>
    <col min="7427" max="7427" width="23.7109375" style="140" customWidth="1"/>
    <col min="7428" max="7428" width="14" style="140" customWidth="1"/>
    <col min="7429" max="7429" width="15" style="140" customWidth="1"/>
    <col min="7430" max="7430" width="21.28515625" style="140" customWidth="1"/>
    <col min="7431" max="7431" width="15.85546875" style="140" customWidth="1"/>
    <col min="7432" max="7432" width="18.28515625" style="140" customWidth="1"/>
    <col min="7433" max="7433" width="16.28515625" style="140" customWidth="1"/>
    <col min="7434" max="7638" width="11.42578125" style="140"/>
    <col min="7639" max="7650" width="2.7109375" style="140" customWidth="1"/>
    <col min="7651" max="7652" width="6.140625" style="140" customWidth="1"/>
    <col min="7653" max="7661" width="2.7109375" style="140" customWidth="1"/>
    <col min="7662" max="7662" width="14.7109375" style="140" customWidth="1"/>
    <col min="7663" max="7663" width="6.28515625" style="140" customWidth="1"/>
    <col min="7664" max="7674" width="2.7109375" style="140" customWidth="1"/>
    <col min="7675" max="7675" width="25.42578125" style="140" customWidth="1"/>
    <col min="7676" max="7676" width="17.85546875" style="140" customWidth="1"/>
    <col min="7677" max="7677" width="15.85546875" style="140" customWidth="1"/>
    <col min="7678" max="7678" width="14.7109375" style="140" customWidth="1"/>
    <col min="7679" max="7679" width="15.85546875" style="140" customWidth="1"/>
    <col min="7680" max="7680" width="15" style="140" customWidth="1"/>
    <col min="7681" max="7681" width="18.140625" style="140" customWidth="1"/>
    <col min="7682" max="7682" width="22.42578125" style="140" customWidth="1"/>
    <col min="7683" max="7683" width="23.7109375" style="140" customWidth="1"/>
    <col min="7684" max="7684" width="14" style="140" customWidth="1"/>
    <col min="7685" max="7685" width="15" style="140" customWidth="1"/>
    <col min="7686" max="7686" width="21.28515625" style="140" customWidth="1"/>
    <col min="7687" max="7687" width="15.85546875" style="140" customWidth="1"/>
    <col min="7688" max="7688" width="18.28515625" style="140" customWidth="1"/>
    <col min="7689" max="7689" width="16.28515625" style="140" customWidth="1"/>
    <col min="7690" max="7894" width="11.42578125" style="140"/>
    <col min="7895" max="7906" width="2.7109375" style="140" customWidth="1"/>
    <col min="7907" max="7908" width="6.140625" style="140" customWidth="1"/>
    <col min="7909" max="7917" width="2.7109375" style="140" customWidth="1"/>
    <col min="7918" max="7918" width="14.7109375" style="140" customWidth="1"/>
    <col min="7919" max="7919" width="6.28515625" style="140" customWidth="1"/>
    <col min="7920" max="7930" width="2.7109375" style="140" customWidth="1"/>
    <col min="7931" max="7931" width="25.42578125" style="140" customWidth="1"/>
    <col min="7932" max="7932" width="17.85546875" style="140" customWidth="1"/>
    <col min="7933" max="7933" width="15.85546875" style="140" customWidth="1"/>
    <col min="7934" max="7934" width="14.7109375" style="140" customWidth="1"/>
    <col min="7935" max="7935" width="15.85546875" style="140" customWidth="1"/>
    <col min="7936" max="7936" width="15" style="140" customWidth="1"/>
    <col min="7937" max="7937" width="18.140625" style="140" customWidth="1"/>
    <col min="7938" max="7938" width="22.42578125" style="140" customWidth="1"/>
    <col min="7939" max="7939" width="23.7109375" style="140" customWidth="1"/>
    <col min="7940" max="7940" width="14" style="140" customWidth="1"/>
    <col min="7941" max="7941" width="15" style="140" customWidth="1"/>
    <col min="7942" max="7942" width="21.28515625" style="140" customWidth="1"/>
    <col min="7943" max="7943" width="15.85546875" style="140" customWidth="1"/>
    <col min="7944" max="7944" width="18.28515625" style="140" customWidth="1"/>
    <col min="7945" max="7945" width="16.28515625" style="140" customWidth="1"/>
    <col min="7946" max="8150" width="11.42578125" style="140"/>
    <col min="8151" max="8162" width="2.7109375" style="140" customWidth="1"/>
    <col min="8163" max="8164" width="6.140625" style="140" customWidth="1"/>
    <col min="8165" max="8173" width="2.7109375" style="140" customWidth="1"/>
    <col min="8174" max="8174" width="14.7109375" style="140" customWidth="1"/>
    <col min="8175" max="8175" width="6.28515625" style="140" customWidth="1"/>
    <col min="8176" max="8186" width="2.7109375" style="140" customWidth="1"/>
    <col min="8187" max="8187" width="25.42578125" style="140" customWidth="1"/>
    <col min="8188" max="8188" width="17.85546875" style="140" customWidth="1"/>
    <col min="8189" max="8189" width="15.85546875" style="140" customWidth="1"/>
    <col min="8190" max="8190" width="14.7109375" style="140" customWidth="1"/>
    <col min="8191" max="8191" width="15.85546875" style="140" customWidth="1"/>
    <col min="8192" max="8192" width="15" style="140" customWidth="1"/>
    <col min="8193" max="8193" width="18.140625" style="140" customWidth="1"/>
    <col min="8194" max="8194" width="22.42578125" style="140" customWidth="1"/>
    <col min="8195" max="8195" width="23.7109375" style="140" customWidth="1"/>
    <col min="8196" max="8196" width="14" style="140" customWidth="1"/>
    <col min="8197" max="8197" width="15" style="140" customWidth="1"/>
    <col min="8198" max="8198" width="21.28515625" style="140" customWidth="1"/>
    <col min="8199" max="8199" width="15.85546875" style="140" customWidth="1"/>
    <col min="8200" max="8200" width="18.28515625" style="140" customWidth="1"/>
    <col min="8201" max="8201" width="16.28515625" style="140" customWidth="1"/>
    <col min="8202" max="8406" width="11.42578125" style="140"/>
    <col min="8407" max="8418" width="2.7109375" style="140" customWidth="1"/>
    <col min="8419" max="8420" width="6.140625" style="140" customWidth="1"/>
    <col min="8421" max="8429" width="2.7109375" style="140" customWidth="1"/>
    <col min="8430" max="8430" width="14.7109375" style="140" customWidth="1"/>
    <col min="8431" max="8431" width="6.28515625" style="140" customWidth="1"/>
    <col min="8432" max="8442" width="2.7109375" style="140" customWidth="1"/>
    <col min="8443" max="8443" width="25.42578125" style="140" customWidth="1"/>
    <col min="8444" max="8444" width="17.85546875" style="140" customWidth="1"/>
    <col min="8445" max="8445" width="15.85546875" style="140" customWidth="1"/>
    <col min="8446" max="8446" width="14.7109375" style="140" customWidth="1"/>
    <col min="8447" max="8447" width="15.85546875" style="140" customWidth="1"/>
    <col min="8448" max="8448" width="15" style="140" customWidth="1"/>
    <col min="8449" max="8449" width="18.140625" style="140" customWidth="1"/>
    <col min="8450" max="8450" width="22.42578125" style="140" customWidth="1"/>
    <col min="8451" max="8451" width="23.7109375" style="140" customWidth="1"/>
    <col min="8452" max="8452" width="14" style="140" customWidth="1"/>
    <col min="8453" max="8453" width="15" style="140" customWidth="1"/>
    <col min="8454" max="8454" width="21.28515625" style="140" customWidth="1"/>
    <col min="8455" max="8455" width="15.85546875" style="140" customWidth="1"/>
    <col min="8456" max="8456" width="18.28515625" style="140" customWidth="1"/>
    <col min="8457" max="8457" width="16.28515625" style="140" customWidth="1"/>
    <col min="8458" max="8662" width="11.42578125" style="140"/>
    <col min="8663" max="8674" width="2.7109375" style="140" customWidth="1"/>
    <col min="8675" max="8676" width="6.140625" style="140" customWidth="1"/>
    <col min="8677" max="8685" width="2.7109375" style="140" customWidth="1"/>
    <col min="8686" max="8686" width="14.7109375" style="140" customWidth="1"/>
    <col min="8687" max="8687" width="6.28515625" style="140" customWidth="1"/>
    <col min="8688" max="8698" width="2.7109375" style="140" customWidth="1"/>
    <col min="8699" max="8699" width="25.42578125" style="140" customWidth="1"/>
    <col min="8700" max="8700" width="17.85546875" style="140" customWidth="1"/>
    <col min="8701" max="8701" width="15.85546875" style="140" customWidth="1"/>
    <col min="8702" max="8702" width="14.7109375" style="140" customWidth="1"/>
    <col min="8703" max="8703" width="15.85546875" style="140" customWidth="1"/>
    <col min="8704" max="8704" width="15" style="140" customWidth="1"/>
    <col min="8705" max="8705" width="18.140625" style="140" customWidth="1"/>
    <col min="8706" max="8706" width="22.42578125" style="140" customWidth="1"/>
    <col min="8707" max="8707" width="23.7109375" style="140" customWidth="1"/>
    <col min="8708" max="8708" width="14" style="140" customWidth="1"/>
    <col min="8709" max="8709" width="15" style="140" customWidth="1"/>
    <col min="8710" max="8710" width="21.28515625" style="140" customWidth="1"/>
    <col min="8711" max="8711" width="15.85546875" style="140" customWidth="1"/>
    <col min="8712" max="8712" width="18.28515625" style="140" customWidth="1"/>
    <col min="8713" max="8713" width="16.28515625" style="140" customWidth="1"/>
    <col min="8714" max="8918" width="11.42578125" style="140"/>
    <col min="8919" max="8930" width="2.7109375" style="140" customWidth="1"/>
    <col min="8931" max="8932" width="6.140625" style="140" customWidth="1"/>
    <col min="8933" max="8941" width="2.7109375" style="140" customWidth="1"/>
    <col min="8942" max="8942" width="14.7109375" style="140" customWidth="1"/>
    <col min="8943" max="8943" width="6.28515625" style="140" customWidth="1"/>
    <col min="8944" max="8954" width="2.7109375" style="140" customWidth="1"/>
    <col min="8955" max="8955" width="25.42578125" style="140" customWidth="1"/>
    <col min="8956" max="8956" width="17.85546875" style="140" customWidth="1"/>
    <col min="8957" max="8957" width="15.85546875" style="140" customWidth="1"/>
    <col min="8958" max="8958" width="14.7109375" style="140" customWidth="1"/>
    <col min="8959" max="8959" width="15.85546875" style="140" customWidth="1"/>
    <col min="8960" max="8960" width="15" style="140" customWidth="1"/>
    <col min="8961" max="8961" width="18.140625" style="140" customWidth="1"/>
    <col min="8962" max="8962" width="22.42578125" style="140" customWidth="1"/>
    <col min="8963" max="8963" width="23.7109375" style="140" customWidth="1"/>
    <col min="8964" max="8964" width="14" style="140" customWidth="1"/>
    <col min="8965" max="8965" width="15" style="140" customWidth="1"/>
    <col min="8966" max="8966" width="21.28515625" style="140" customWidth="1"/>
    <col min="8967" max="8967" width="15.85546875" style="140" customWidth="1"/>
    <col min="8968" max="8968" width="18.28515625" style="140" customWidth="1"/>
    <col min="8969" max="8969" width="16.28515625" style="140" customWidth="1"/>
    <col min="8970" max="9174" width="11.42578125" style="140"/>
    <col min="9175" max="9186" width="2.7109375" style="140" customWidth="1"/>
    <col min="9187" max="9188" width="6.140625" style="140" customWidth="1"/>
    <col min="9189" max="9197" width="2.7109375" style="140" customWidth="1"/>
    <col min="9198" max="9198" width="14.7109375" style="140" customWidth="1"/>
    <col min="9199" max="9199" width="6.28515625" style="140" customWidth="1"/>
    <col min="9200" max="9210" width="2.7109375" style="140" customWidth="1"/>
    <col min="9211" max="9211" width="25.42578125" style="140" customWidth="1"/>
    <col min="9212" max="9212" width="17.85546875" style="140" customWidth="1"/>
    <col min="9213" max="9213" width="15.85546875" style="140" customWidth="1"/>
    <col min="9214" max="9214" width="14.7109375" style="140" customWidth="1"/>
    <col min="9215" max="9215" width="15.85546875" style="140" customWidth="1"/>
    <col min="9216" max="9216" width="15" style="140" customWidth="1"/>
    <col min="9217" max="9217" width="18.140625" style="140" customWidth="1"/>
    <col min="9218" max="9218" width="22.42578125" style="140" customWidth="1"/>
    <col min="9219" max="9219" width="23.7109375" style="140" customWidth="1"/>
    <col min="9220" max="9220" width="14" style="140" customWidth="1"/>
    <col min="9221" max="9221" width="15" style="140" customWidth="1"/>
    <col min="9222" max="9222" width="21.28515625" style="140" customWidth="1"/>
    <col min="9223" max="9223" width="15.85546875" style="140" customWidth="1"/>
    <col min="9224" max="9224" width="18.28515625" style="140" customWidth="1"/>
    <col min="9225" max="9225" width="16.28515625" style="140" customWidth="1"/>
    <col min="9226" max="9430" width="11.42578125" style="140"/>
    <col min="9431" max="9442" width="2.7109375" style="140" customWidth="1"/>
    <col min="9443" max="9444" width="6.140625" style="140" customWidth="1"/>
    <col min="9445" max="9453" width="2.7109375" style="140" customWidth="1"/>
    <col min="9454" max="9454" width="14.7109375" style="140" customWidth="1"/>
    <col min="9455" max="9455" width="6.28515625" style="140" customWidth="1"/>
    <col min="9456" max="9466" width="2.7109375" style="140" customWidth="1"/>
    <col min="9467" max="9467" width="25.42578125" style="140" customWidth="1"/>
    <col min="9468" max="9468" width="17.85546875" style="140" customWidth="1"/>
    <col min="9469" max="9469" width="15.85546875" style="140" customWidth="1"/>
    <col min="9470" max="9470" width="14.7109375" style="140" customWidth="1"/>
    <col min="9471" max="9471" width="15.85546875" style="140" customWidth="1"/>
    <col min="9472" max="9472" width="15" style="140" customWidth="1"/>
    <col min="9473" max="9473" width="18.140625" style="140" customWidth="1"/>
    <col min="9474" max="9474" width="22.42578125" style="140" customWidth="1"/>
    <col min="9475" max="9475" width="23.7109375" style="140" customWidth="1"/>
    <col min="9476" max="9476" width="14" style="140" customWidth="1"/>
    <col min="9477" max="9477" width="15" style="140" customWidth="1"/>
    <col min="9478" max="9478" width="21.28515625" style="140" customWidth="1"/>
    <col min="9479" max="9479" width="15.85546875" style="140" customWidth="1"/>
    <col min="9480" max="9480" width="18.28515625" style="140" customWidth="1"/>
    <col min="9481" max="9481" width="16.28515625" style="140" customWidth="1"/>
    <col min="9482" max="9686" width="11.42578125" style="140"/>
    <col min="9687" max="9698" width="2.7109375" style="140" customWidth="1"/>
    <col min="9699" max="9700" width="6.140625" style="140" customWidth="1"/>
    <col min="9701" max="9709" width="2.7109375" style="140" customWidth="1"/>
    <col min="9710" max="9710" width="14.7109375" style="140" customWidth="1"/>
    <col min="9711" max="9711" width="6.28515625" style="140" customWidth="1"/>
    <col min="9712" max="9722" width="2.7109375" style="140" customWidth="1"/>
    <col min="9723" max="9723" width="25.42578125" style="140" customWidth="1"/>
    <col min="9724" max="9724" width="17.85546875" style="140" customWidth="1"/>
    <col min="9725" max="9725" width="15.85546875" style="140" customWidth="1"/>
    <col min="9726" max="9726" width="14.7109375" style="140" customWidth="1"/>
    <col min="9727" max="9727" width="15.85546875" style="140" customWidth="1"/>
    <col min="9728" max="9728" width="15" style="140" customWidth="1"/>
    <col min="9729" max="9729" width="18.140625" style="140" customWidth="1"/>
    <col min="9730" max="9730" width="22.42578125" style="140" customWidth="1"/>
    <col min="9731" max="9731" width="23.7109375" style="140" customWidth="1"/>
    <col min="9732" max="9732" width="14" style="140" customWidth="1"/>
    <col min="9733" max="9733" width="15" style="140" customWidth="1"/>
    <col min="9734" max="9734" width="21.28515625" style="140" customWidth="1"/>
    <col min="9735" max="9735" width="15.85546875" style="140" customWidth="1"/>
    <col min="9736" max="9736" width="18.28515625" style="140" customWidth="1"/>
    <col min="9737" max="9737" width="16.28515625" style="140" customWidth="1"/>
    <col min="9738" max="9942" width="11.42578125" style="140"/>
    <col min="9943" max="9954" width="2.7109375" style="140" customWidth="1"/>
    <col min="9955" max="9956" width="6.140625" style="140" customWidth="1"/>
    <col min="9957" max="9965" width="2.7109375" style="140" customWidth="1"/>
    <col min="9966" max="9966" width="14.7109375" style="140" customWidth="1"/>
    <col min="9967" max="9967" width="6.28515625" style="140" customWidth="1"/>
    <col min="9968" max="9978" width="2.7109375" style="140" customWidth="1"/>
    <col min="9979" max="9979" width="25.42578125" style="140" customWidth="1"/>
    <col min="9980" max="9980" width="17.85546875" style="140" customWidth="1"/>
    <col min="9981" max="9981" width="15.85546875" style="140" customWidth="1"/>
    <col min="9982" max="9982" width="14.7109375" style="140" customWidth="1"/>
    <col min="9983" max="9983" width="15.85546875" style="140" customWidth="1"/>
    <col min="9984" max="9984" width="15" style="140" customWidth="1"/>
    <col min="9985" max="9985" width="18.140625" style="140" customWidth="1"/>
    <col min="9986" max="9986" width="22.42578125" style="140" customWidth="1"/>
    <col min="9987" max="9987" width="23.7109375" style="140" customWidth="1"/>
    <col min="9988" max="9988" width="14" style="140" customWidth="1"/>
    <col min="9989" max="9989" width="15" style="140" customWidth="1"/>
    <col min="9990" max="9990" width="21.28515625" style="140" customWidth="1"/>
    <col min="9991" max="9991" width="15.85546875" style="140" customWidth="1"/>
    <col min="9992" max="9992" width="18.28515625" style="140" customWidth="1"/>
    <col min="9993" max="9993" width="16.28515625" style="140" customWidth="1"/>
    <col min="9994" max="10198" width="11.42578125" style="140"/>
    <col min="10199" max="10210" width="2.7109375" style="140" customWidth="1"/>
    <col min="10211" max="10212" width="6.140625" style="140" customWidth="1"/>
    <col min="10213" max="10221" width="2.7109375" style="140" customWidth="1"/>
    <col min="10222" max="10222" width="14.7109375" style="140" customWidth="1"/>
    <col min="10223" max="10223" width="6.28515625" style="140" customWidth="1"/>
    <col min="10224" max="10234" width="2.7109375" style="140" customWidth="1"/>
    <col min="10235" max="10235" width="25.42578125" style="140" customWidth="1"/>
    <col min="10236" max="10236" width="17.85546875" style="140" customWidth="1"/>
    <col min="10237" max="10237" width="15.85546875" style="140" customWidth="1"/>
    <col min="10238" max="10238" width="14.7109375" style="140" customWidth="1"/>
    <col min="10239" max="10239" width="15.85546875" style="140" customWidth="1"/>
    <col min="10240" max="10240" width="15" style="140" customWidth="1"/>
    <col min="10241" max="10241" width="18.140625" style="140" customWidth="1"/>
    <col min="10242" max="10242" width="22.42578125" style="140" customWidth="1"/>
    <col min="10243" max="10243" width="23.7109375" style="140" customWidth="1"/>
    <col min="10244" max="10244" width="14" style="140" customWidth="1"/>
    <col min="10245" max="10245" width="15" style="140" customWidth="1"/>
    <col min="10246" max="10246" width="21.28515625" style="140" customWidth="1"/>
    <col min="10247" max="10247" width="15.85546875" style="140" customWidth="1"/>
    <col min="10248" max="10248" width="18.28515625" style="140" customWidth="1"/>
    <col min="10249" max="10249" width="16.28515625" style="140" customWidth="1"/>
    <col min="10250" max="10454" width="11.42578125" style="140"/>
    <col min="10455" max="10466" width="2.7109375" style="140" customWidth="1"/>
    <col min="10467" max="10468" width="6.140625" style="140" customWidth="1"/>
    <col min="10469" max="10477" width="2.7109375" style="140" customWidth="1"/>
    <col min="10478" max="10478" width="14.7109375" style="140" customWidth="1"/>
    <col min="10479" max="10479" width="6.28515625" style="140" customWidth="1"/>
    <col min="10480" max="10490" width="2.7109375" style="140" customWidth="1"/>
    <col min="10491" max="10491" width="25.42578125" style="140" customWidth="1"/>
    <col min="10492" max="10492" width="17.85546875" style="140" customWidth="1"/>
    <col min="10493" max="10493" width="15.85546875" style="140" customWidth="1"/>
    <col min="10494" max="10494" width="14.7109375" style="140" customWidth="1"/>
    <col min="10495" max="10495" width="15.85546875" style="140" customWidth="1"/>
    <col min="10496" max="10496" width="15" style="140" customWidth="1"/>
    <col min="10497" max="10497" width="18.140625" style="140" customWidth="1"/>
    <col min="10498" max="10498" width="22.42578125" style="140" customWidth="1"/>
    <col min="10499" max="10499" width="23.7109375" style="140" customWidth="1"/>
    <col min="10500" max="10500" width="14" style="140" customWidth="1"/>
    <col min="10501" max="10501" width="15" style="140" customWidth="1"/>
    <col min="10502" max="10502" width="21.28515625" style="140" customWidth="1"/>
    <col min="10503" max="10503" width="15.85546875" style="140" customWidth="1"/>
    <col min="10504" max="10504" width="18.28515625" style="140" customWidth="1"/>
    <col min="10505" max="10505" width="16.28515625" style="140" customWidth="1"/>
    <col min="10506" max="10710" width="11.42578125" style="140"/>
    <col min="10711" max="10722" width="2.7109375" style="140" customWidth="1"/>
    <col min="10723" max="10724" width="6.140625" style="140" customWidth="1"/>
    <col min="10725" max="10733" width="2.7109375" style="140" customWidth="1"/>
    <col min="10734" max="10734" width="14.7109375" style="140" customWidth="1"/>
    <col min="10735" max="10735" width="6.28515625" style="140" customWidth="1"/>
    <col min="10736" max="10746" width="2.7109375" style="140" customWidth="1"/>
    <col min="10747" max="10747" width="25.42578125" style="140" customWidth="1"/>
    <col min="10748" max="10748" width="17.85546875" style="140" customWidth="1"/>
    <col min="10749" max="10749" width="15.85546875" style="140" customWidth="1"/>
    <col min="10750" max="10750" width="14.7109375" style="140" customWidth="1"/>
    <col min="10751" max="10751" width="15.85546875" style="140" customWidth="1"/>
    <col min="10752" max="10752" width="15" style="140" customWidth="1"/>
    <col min="10753" max="10753" width="18.140625" style="140" customWidth="1"/>
    <col min="10754" max="10754" width="22.42578125" style="140" customWidth="1"/>
    <col min="10755" max="10755" width="23.7109375" style="140" customWidth="1"/>
    <col min="10756" max="10756" width="14" style="140" customWidth="1"/>
    <col min="10757" max="10757" width="15" style="140" customWidth="1"/>
    <col min="10758" max="10758" width="21.28515625" style="140" customWidth="1"/>
    <col min="10759" max="10759" width="15.85546875" style="140" customWidth="1"/>
    <col min="10760" max="10760" width="18.28515625" style="140" customWidth="1"/>
    <col min="10761" max="10761" width="16.28515625" style="140" customWidth="1"/>
    <col min="10762" max="10966" width="11.42578125" style="140"/>
    <col min="10967" max="10978" width="2.7109375" style="140" customWidth="1"/>
    <col min="10979" max="10980" width="6.140625" style="140" customWidth="1"/>
    <col min="10981" max="10989" width="2.7109375" style="140" customWidth="1"/>
    <col min="10990" max="10990" width="14.7109375" style="140" customWidth="1"/>
    <col min="10991" max="10991" width="6.28515625" style="140" customWidth="1"/>
    <col min="10992" max="11002" width="2.7109375" style="140" customWidth="1"/>
    <col min="11003" max="11003" width="25.42578125" style="140" customWidth="1"/>
    <col min="11004" max="11004" width="17.85546875" style="140" customWidth="1"/>
    <col min="11005" max="11005" width="15.85546875" style="140" customWidth="1"/>
    <col min="11006" max="11006" width="14.7109375" style="140" customWidth="1"/>
    <col min="11007" max="11007" width="15.85546875" style="140" customWidth="1"/>
    <col min="11008" max="11008" width="15" style="140" customWidth="1"/>
    <col min="11009" max="11009" width="18.140625" style="140" customWidth="1"/>
    <col min="11010" max="11010" width="22.42578125" style="140" customWidth="1"/>
    <col min="11011" max="11011" width="23.7109375" style="140" customWidth="1"/>
    <col min="11012" max="11012" width="14" style="140" customWidth="1"/>
    <col min="11013" max="11013" width="15" style="140" customWidth="1"/>
    <col min="11014" max="11014" width="21.28515625" style="140" customWidth="1"/>
    <col min="11015" max="11015" width="15.85546875" style="140" customWidth="1"/>
    <col min="11016" max="11016" width="18.28515625" style="140" customWidth="1"/>
    <col min="11017" max="11017" width="16.28515625" style="140" customWidth="1"/>
    <col min="11018" max="11222" width="11.42578125" style="140"/>
    <col min="11223" max="11234" width="2.7109375" style="140" customWidth="1"/>
    <col min="11235" max="11236" width="6.140625" style="140" customWidth="1"/>
    <col min="11237" max="11245" width="2.7109375" style="140" customWidth="1"/>
    <col min="11246" max="11246" width="14.7109375" style="140" customWidth="1"/>
    <col min="11247" max="11247" width="6.28515625" style="140" customWidth="1"/>
    <col min="11248" max="11258" width="2.7109375" style="140" customWidth="1"/>
    <col min="11259" max="11259" width="25.42578125" style="140" customWidth="1"/>
    <col min="11260" max="11260" width="17.85546875" style="140" customWidth="1"/>
    <col min="11261" max="11261" width="15.85546875" style="140" customWidth="1"/>
    <col min="11262" max="11262" width="14.7109375" style="140" customWidth="1"/>
    <col min="11263" max="11263" width="15.85546875" style="140" customWidth="1"/>
    <col min="11264" max="11264" width="15" style="140" customWidth="1"/>
    <col min="11265" max="11265" width="18.140625" style="140" customWidth="1"/>
    <col min="11266" max="11266" width="22.42578125" style="140" customWidth="1"/>
    <col min="11267" max="11267" width="23.7109375" style="140" customWidth="1"/>
    <col min="11268" max="11268" width="14" style="140" customWidth="1"/>
    <col min="11269" max="11269" width="15" style="140" customWidth="1"/>
    <col min="11270" max="11270" width="21.28515625" style="140" customWidth="1"/>
    <col min="11271" max="11271" width="15.85546875" style="140" customWidth="1"/>
    <col min="11272" max="11272" width="18.28515625" style="140" customWidth="1"/>
    <col min="11273" max="11273" width="16.28515625" style="140" customWidth="1"/>
    <col min="11274" max="11478" width="11.42578125" style="140"/>
    <col min="11479" max="11490" width="2.7109375" style="140" customWidth="1"/>
    <col min="11491" max="11492" width="6.140625" style="140" customWidth="1"/>
    <col min="11493" max="11501" width="2.7109375" style="140" customWidth="1"/>
    <col min="11502" max="11502" width="14.7109375" style="140" customWidth="1"/>
    <col min="11503" max="11503" width="6.28515625" style="140" customWidth="1"/>
    <col min="11504" max="11514" width="2.7109375" style="140" customWidth="1"/>
    <col min="11515" max="11515" width="25.42578125" style="140" customWidth="1"/>
    <col min="11516" max="11516" width="17.85546875" style="140" customWidth="1"/>
    <col min="11517" max="11517" width="15.85546875" style="140" customWidth="1"/>
    <col min="11518" max="11518" width="14.7109375" style="140" customWidth="1"/>
    <col min="11519" max="11519" width="15.85546875" style="140" customWidth="1"/>
    <col min="11520" max="11520" width="15" style="140" customWidth="1"/>
    <col min="11521" max="11521" width="18.140625" style="140" customWidth="1"/>
    <col min="11522" max="11522" width="22.42578125" style="140" customWidth="1"/>
    <col min="11523" max="11523" width="23.7109375" style="140" customWidth="1"/>
    <col min="11524" max="11524" width="14" style="140" customWidth="1"/>
    <col min="11525" max="11525" width="15" style="140" customWidth="1"/>
    <col min="11526" max="11526" width="21.28515625" style="140" customWidth="1"/>
    <col min="11527" max="11527" width="15.85546875" style="140" customWidth="1"/>
    <col min="11528" max="11528" width="18.28515625" style="140" customWidth="1"/>
    <col min="11529" max="11529" width="16.28515625" style="140" customWidth="1"/>
    <col min="11530" max="11734" width="11.42578125" style="140"/>
    <col min="11735" max="11746" width="2.7109375" style="140" customWidth="1"/>
    <col min="11747" max="11748" width="6.140625" style="140" customWidth="1"/>
    <col min="11749" max="11757" width="2.7109375" style="140" customWidth="1"/>
    <col min="11758" max="11758" width="14.7109375" style="140" customWidth="1"/>
    <col min="11759" max="11759" width="6.28515625" style="140" customWidth="1"/>
    <col min="11760" max="11770" width="2.7109375" style="140" customWidth="1"/>
    <col min="11771" max="11771" width="25.42578125" style="140" customWidth="1"/>
    <col min="11772" max="11772" width="17.85546875" style="140" customWidth="1"/>
    <col min="11773" max="11773" width="15.85546875" style="140" customWidth="1"/>
    <col min="11774" max="11774" width="14.7109375" style="140" customWidth="1"/>
    <col min="11775" max="11775" width="15.85546875" style="140" customWidth="1"/>
    <col min="11776" max="11776" width="15" style="140" customWidth="1"/>
    <col min="11777" max="11777" width="18.140625" style="140" customWidth="1"/>
    <col min="11778" max="11778" width="22.42578125" style="140" customWidth="1"/>
    <col min="11779" max="11779" width="23.7109375" style="140" customWidth="1"/>
    <col min="11780" max="11780" width="14" style="140" customWidth="1"/>
    <col min="11781" max="11781" width="15" style="140" customWidth="1"/>
    <col min="11782" max="11782" width="21.28515625" style="140" customWidth="1"/>
    <col min="11783" max="11783" width="15.85546875" style="140" customWidth="1"/>
    <col min="11784" max="11784" width="18.28515625" style="140" customWidth="1"/>
    <col min="11785" max="11785" width="16.28515625" style="140" customWidth="1"/>
    <col min="11786" max="11990" width="11.42578125" style="140"/>
    <col min="11991" max="12002" width="2.7109375" style="140" customWidth="1"/>
    <col min="12003" max="12004" width="6.140625" style="140" customWidth="1"/>
    <col min="12005" max="12013" width="2.7109375" style="140" customWidth="1"/>
    <col min="12014" max="12014" width="14.7109375" style="140" customWidth="1"/>
    <col min="12015" max="12015" width="6.28515625" style="140" customWidth="1"/>
    <col min="12016" max="12026" width="2.7109375" style="140" customWidth="1"/>
    <col min="12027" max="12027" width="25.42578125" style="140" customWidth="1"/>
    <col min="12028" max="12028" width="17.85546875" style="140" customWidth="1"/>
    <col min="12029" max="12029" width="15.85546875" style="140" customWidth="1"/>
    <col min="12030" max="12030" width="14.7109375" style="140" customWidth="1"/>
    <col min="12031" max="12031" width="15.85546875" style="140" customWidth="1"/>
    <col min="12032" max="12032" width="15" style="140" customWidth="1"/>
    <col min="12033" max="12033" width="18.140625" style="140" customWidth="1"/>
    <col min="12034" max="12034" width="22.42578125" style="140" customWidth="1"/>
    <col min="12035" max="12035" width="23.7109375" style="140" customWidth="1"/>
    <col min="12036" max="12036" width="14" style="140" customWidth="1"/>
    <col min="12037" max="12037" width="15" style="140" customWidth="1"/>
    <col min="12038" max="12038" width="21.28515625" style="140" customWidth="1"/>
    <col min="12039" max="12039" width="15.85546875" style="140" customWidth="1"/>
    <col min="12040" max="12040" width="18.28515625" style="140" customWidth="1"/>
    <col min="12041" max="12041" width="16.28515625" style="140" customWidth="1"/>
    <col min="12042" max="12246" width="11.42578125" style="140"/>
    <col min="12247" max="12258" width="2.7109375" style="140" customWidth="1"/>
    <col min="12259" max="12260" width="6.140625" style="140" customWidth="1"/>
    <col min="12261" max="12269" width="2.7109375" style="140" customWidth="1"/>
    <col min="12270" max="12270" width="14.7109375" style="140" customWidth="1"/>
    <col min="12271" max="12271" width="6.28515625" style="140" customWidth="1"/>
    <col min="12272" max="12282" width="2.7109375" style="140" customWidth="1"/>
    <col min="12283" max="12283" width="25.42578125" style="140" customWidth="1"/>
    <col min="12284" max="12284" width="17.85546875" style="140" customWidth="1"/>
    <col min="12285" max="12285" width="15.85546875" style="140" customWidth="1"/>
    <col min="12286" max="12286" width="14.7109375" style="140" customWidth="1"/>
    <col min="12287" max="12287" width="15.85546875" style="140" customWidth="1"/>
    <col min="12288" max="12288" width="15" style="140" customWidth="1"/>
    <col min="12289" max="12289" width="18.140625" style="140" customWidth="1"/>
    <col min="12290" max="12290" width="22.42578125" style="140" customWidth="1"/>
    <col min="12291" max="12291" width="23.7109375" style="140" customWidth="1"/>
    <col min="12292" max="12292" width="14" style="140" customWidth="1"/>
    <col min="12293" max="12293" width="15" style="140" customWidth="1"/>
    <col min="12294" max="12294" width="21.28515625" style="140" customWidth="1"/>
    <col min="12295" max="12295" width="15.85546875" style="140" customWidth="1"/>
    <col min="12296" max="12296" width="18.28515625" style="140" customWidth="1"/>
    <col min="12297" max="12297" width="16.28515625" style="140" customWidth="1"/>
    <col min="12298" max="12502" width="11.42578125" style="140"/>
    <col min="12503" max="12514" width="2.7109375" style="140" customWidth="1"/>
    <col min="12515" max="12516" width="6.140625" style="140" customWidth="1"/>
    <col min="12517" max="12525" width="2.7109375" style="140" customWidth="1"/>
    <col min="12526" max="12526" width="14.7109375" style="140" customWidth="1"/>
    <col min="12527" max="12527" width="6.28515625" style="140" customWidth="1"/>
    <col min="12528" max="12538" width="2.7109375" style="140" customWidth="1"/>
    <col min="12539" max="12539" width="25.42578125" style="140" customWidth="1"/>
    <col min="12540" max="12540" width="17.85546875" style="140" customWidth="1"/>
    <col min="12541" max="12541" width="15.85546875" style="140" customWidth="1"/>
    <col min="12542" max="12542" width="14.7109375" style="140" customWidth="1"/>
    <col min="12543" max="12543" width="15.85546875" style="140" customWidth="1"/>
    <col min="12544" max="12544" width="15" style="140" customWidth="1"/>
    <col min="12545" max="12545" width="18.140625" style="140" customWidth="1"/>
    <col min="12546" max="12546" width="22.42578125" style="140" customWidth="1"/>
    <col min="12547" max="12547" width="23.7109375" style="140" customWidth="1"/>
    <col min="12548" max="12548" width="14" style="140" customWidth="1"/>
    <col min="12549" max="12549" width="15" style="140" customWidth="1"/>
    <col min="12550" max="12550" width="21.28515625" style="140" customWidth="1"/>
    <col min="12551" max="12551" width="15.85546875" style="140" customWidth="1"/>
    <col min="12552" max="12552" width="18.28515625" style="140" customWidth="1"/>
    <col min="12553" max="12553" width="16.28515625" style="140" customWidth="1"/>
    <col min="12554" max="12758" width="11.42578125" style="140"/>
    <col min="12759" max="12770" width="2.7109375" style="140" customWidth="1"/>
    <col min="12771" max="12772" width="6.140625" style="140" customWidth="1"/>
    <col min="12773" max="12781" width="2.7109375" style="140" customWidth="1"/>
    <col min="12782" max="12782" width="14.7109375" style="140" customWidth="1"/>
    <col min="12783" max="12783" width="6.28515625" style="140" customWidth="1"/>
    <col min="12784" max="12794" width="2.7109375" style="140" customWidth="1"/>
    <col min="12795" max="12795" width="25.42578125" style="140" customWidth="1"/>
    <col min="12796" max="12796" width="17.85546875" style="140" customWidth="1"/>
    <col min="12797" max="12797" width="15.85546875" style="140" customWidth="1"/>
    <col min="12798" max="12798" width="14.7109375" style="140" customWidth="1"/>
    <col min="12799" max="12799" width="15.85546875" style="140" customWidth="1"/>
    <col min="12800" max="12800" width="15" style="140" customWidth="1"/>
    <col min="12801" max="12801" width="18.140625" style="140" customWidth="1"/>
    <col min="12802" max="12802" width="22.42578125" style="140" customWidth="1"/>
    <col min="12803" max="12803" width="23.7109375" style="140" customWidth="1"/>
    <col min="12804" max="12804" width="14" style="140" customWidth="1"/>
    <col min="12805" max="12805" width="15" style="140" customWidth="1"/>
    <col min="12806" max="12806" width="21.28515625" style="140" customWidth="1"/>
    <col min="12807" max="12807" width="15.85546875" style="140" customWidth="1"/>
    <col min="12808" max="12808" width="18.28515625" style="140" customWidth="1"/>
    <col min="12809" max="12809" width="16.28515625" style="140" customWidth="1"/>
    <col min="12810" max="13014" width="11.42578125" style="140"/>
    <col min="13015" max="13026" width="2.7109375" style="140" customWidth="1"/>
    <col min="13027" max="13028" width="6.140625" style="140" customWidth="1"/>
    <col min="13029" max="13037" width="2.7109375" style="140" customWidth="1"/>
    <col min="13038" max="13038" width="14.7109375" style="140" customWidth="1"/>
    <col min="13039" max="13039" width="6.28515625" style="140" customWidth="1"/>
    <col min="13040" max="13050" width="2.7109375" style="140" customWidth="1"/>
    <col min="13051" max="13051" width="25.42578125" style="140" customWidth="1"/>
    <col min="13052" max="13052" width="17.85546875" style="140" customWidth="1"/>
    <col min="13053" max="13053" width="15.85546875" style="140" customWidth="1"/>
    <col min="13054" max="13054" width="14.7109375" style="140" customWidth="1"/>
    <col min="13055" max="13055" width="15.85546875" style="140" customWidth="1"/>
    <col min="13056" max="13056" width="15" style="140" customWidth="1"/>
    <col min="13057" max="13057" width="18.140625" style="140" customWidth="1"/>
    <col min="13058" max="13058" width="22.42578125" style="140" customWidth="1"/>
    <col min="13059" max="13059" width="23.7109375" style="140" customWidth="1"/>
    <col min="13060" max="13060" width="14" style="140" customWidth="1"/>
    <col min="13061" max="13061" width="15" style="140" customWidth="1"/>
    <col min="13062" max="13062" width="21.28515625" style="140" customWidth="1"/>
    <col min="13063" max="13063" width="15.85546875" style="140" customWidth="1"/>
    <col min="13064" max="13064" width="18.28515625" style="140" customWidth="1"/>
    <col min="13065" max="13065" width="16.28515625" style="140" customWidth="1"/>
    <col min="13066" max="13270" width="11.42578125" style="140"/>
    <col min="13271" max="13282" width="2.7109375" style="140" customWidth="1"/>
    <col min="13283" max="13284" width="6.140625" style="140" customWidth="1"/>
    <col min="13285" max="13293" width="2.7109375" style="140" customWidth="1"/>
    <col min="13294" max="13294" width="14.7109375" style="140" customWidth="1"/>
    <col min="13295" max="13295" width="6.28515625" style="140" customWidth="1"/>
    <col min="13296" max="13306" width="2.7109375" style="140" customWidth="1"/>
    <col min="13307" max="13307" width="25.42578125" style="140" customWidth="1"/>
    <col min="13308" max="13308" width="17.85546875" style="140" customWidth="1"/>
    <col min="13309" max="13309" width="15.85546875" style="140" customWidth="1"/>
    <col min="13310" max="13310" width="14.7109375" style="140" customWidth="1"/>
    <col min="13311" max="13311" width="15.85546875" style="140" customWidth="1"/>
    <col min="13312" max="13312" width="15" style="140" customWidth="1"/>
    <col min="13313" max="13313" width="18.140625" style="140" customWidth="1"/>
    <col min="13314" max="13314" width="22.42578125" style="140" customWidth="1"/>
    <col min="13315" max="13315" width="23.7109375" style="140" customWidth="1"/>
    <col min="13316" max="13316" width="14" style="140" customWidth="1"/>
    <col min="13317" max="13317" width="15" style="140" customWidth="1"/>
    <col min="13318" max="13318" width="21.28515625" style="140" customWidth="1"/>
    <col min="13319" max="13319" width="15.85546875" style="140" customWidth="1"/>
    <col min="13320" max="13320" width="18.28515625" style="140" customWidth="1"/>
    <col min="13321" max="13321" width="16.28515625" style="140" customWidth="1"/>
    <col min="13322" max="13526" width="11.42578125" style="140"/>
    <col min="13527" max="13538" width="2.7109375" style="140" customWidth="1"/>
    <col min="13539" max="13540" width="6.140625" style="140" customWidth="1"/>
    <col min="13541" max="13549" width="2.7109375" style="140" customWidth="1"/>
    <col min="13550" max="13550" width="14.7109375" style="140" customWidth="1"/>
    <col min="13551" max="13551" width="6.28515625" style="140" customWidth="1"/>
    <col min="13552" max="13562" width="2.7109375" style="140" customWidth="1"/>
    <col min="13563" max="13563" width="25.42578125" style="140" customWidth="1"/>
    <col min="13564" max="13564" width="17.85546875" style="140" customWidth="1"/>
    <col min="13565" max="13565" width="15.85546875" style="140" customWidth="1"/>
    <col min="13566" max="13566" width="14.7109375" style="140" customWidth="1"/>
    <col min="13567" max="13567" width="15.85546875" style="140" customWidth="1"/>
    <col min="13568" max="13568" width="15" style="140" customWidth="1"/>
    <col min="13569" max="13569" width="18.140625" style="140" customWidth="1"/>
    <col min="13570" max="13570" width="22.42578125" style="140" customWidth="1"/>
    <col min="13571" max="13571" width="23.7109375" style="140" customWidth="1"/>
    <col min="13572" max="13572" width="14" style="140" customWidth="1"/>
    <col min="13573" max="13573" width="15" style="140" customWidth="1"/>
    <col min="13574" max="13574" width="21.28515625" style="140" customWidth="1"/>
    <col min="13575" max="13575" width="15.85546875" style="140" customWidth="1"/>
    <col min="13576" max="13576" width="18.28515625" style="140" customWidth="1"/>
    <col min="13577" max="13577" width="16.28515625" style="140" customWidth="1"/>
    <col min="13578" max="13782" width="11.42578125" style="140"/>
    <col min="13783" max="13794" width="2.7109375" style="140" customWidth="1"/>
    <col min="13795" max="13796" width="6.140625" style="140" customWidth="1"/>
    <col min="13797" max="13805" width="2.7109375" style="140" customWidth="1"/>
    <col min="13806" max="13806" width="14.7109375" style="140" customWidth="1"/>
    <col min="13807" max="13807" width="6.28515625" style="140" customWidth="1"/>
    <col min="13808" max="13818" width="2.7109375" style="140" customWidth="1"/>
    <col min="13819" max="13819" width="25.42578125" style="140" customWidth="1"/>
    <col min="13820" max="13820" width="17.85546875" style="140" customWidth="1"/>
    <col min="13821" max="13821" width="15.85546875" style="140" customWidth="1"/>
    <col min="13822" max="13822" width="14.7109375" style="140" customWidth="1"/>
    <col min="13823" max="13823" width="15.85546875" style="140" customWidth="1"/>
    <col min="13824" max="13824" width="15" style="140" customWidth="1"/>
    <col min="13825" max="13825" width="18.140625" style="140" customWidth="1"/>
    <col min="13826" max="13826" width="22.42578125" style="140" customWidth="1"/>
    <col min="13827" max="13827" width="23.7109375" style="140" customWidth="1"/>
    <col min="13828" max="13828" width="14" style="140" customWidth="1"/>
    <col min="13829" max="13829" width="15" style="140" customWidth="1"/>
    <col min="13830" max="13830" width="21.28515625" style="140" customWidth="1"/>
    <col min="13831" max="13831" width="15.85546875" style="140" customWidth="1"/>
    <col min="13832" max="13832" width="18.28515625" style="140" customWidth="1"/>
    <col min="13833" max="13833" width="16.28515625" style="140" customWidth="1"/>
    <col min="13834" max="14038" width="11.42578125" style="140"/>
    <col min="14039" max="14050" width="2.7109375" style="140" customWidth="1"/>
    <col min="14051" max="14052" width="6.140625" style="140" customWidth="1"/>
    <col min="14053" max="14061" width="2.7109375" style="140" customWidth="1"/>
    <col min="14062" max="14062" width="14.7109375" style="140" customWidth="1"/>
    <col min="14063" max="14063" width="6.28515625" style="140" customWidth="1"/>
    <col min="14064" max="14074" width="2.7109375" style="140" customWidth="1"/>
    <col min="14075" max="14075" width="25.42578125" style="140" customWidth="1"/>
    <col min="14076" max="14076" width="17.85546875" style="140" customWidth="1"/>
    <col min="14077" max="14077" width="15.85546875" style="140" customWidth="1"/>
    <col min="14078" max="14078" width="14.7109375" style="140" customWidth="1"/>
    <col min="14079" max="14079" width="15.85546875" style="140" customWidth="1"/>
    <col min="14080" max="14080" width="15" style="140" customWidth="1"/>
    <col min="14081" max="14081" width="18.140625" style="140" customWidth="1"/>
    <col min="14082" max="14082" width="22.42578125" style="140" customWidth="1"/>
    <col min="14083" max="14083" width="23.7109375" style="140" customWidth="1"/>
    <col min="14084" max="14084" width="14" style="140" customWidth="1"/>
    <col min="14085" max="14085" width="15" style="140" customWidth="1"/>
    <col min="14086" max="14086" width="21.28515625" style="140" customWidth="1"/>
    <col min="14087" max="14087" width="15.85546875" style="140" customWidth="1"/>
    <col min="14088" max="14088" width="18.28515625" style="140" customWidth="1"/>
    <col min="14089" max="14089" width="16.28515625" style="140" customWidth="1"/>
    <col min="14090" max="14294" width="11.42578125" style="140"/>
    <col min="14295" max="14306" width="2.7109375" style="140" customWidth="1"/>
    <col min="14307" max="14308" width="6.140625" style="140" customWidth="1"/>
    <col min="14309" max="14317" width="2.7109375" style="140" customWidth="1"/>
    <col min="14318" max="14318" width="14.7109375" style="140" customWidth="1"/>
    <col min="14319" max="14319" width="6.28515625" style="140" customWidth="1"/>
    <col min="14320" max="14330" width="2.7109375" style="140" customWidth="1"/>
    <col min="14331" max="14331" width="25.42578125" style="140" customWidth="1"/>
    <col min="14332" max="14332" width="17.85546875" style="140" customWidth="1"/>
    <col min="14333" max="14333" width="15.85546875" style="140" customWidth="1"/>
    <col min="14334" max="14334" width="14.7109375" style="140" customWidth="1"/>
    <col min="14335" max="14335" width="15.85546875" style="140" customWidth="1"/>
    <col min="14336" max="14336" width="15" style="140" customWidth="1"/>
    <col min="14337" max="14337" width="18.140625" style="140" customWidth="1"/>
    <col min="14338" max="14338" width="22.42578125" style="140" customWidth="1"/>
    <col min="14339" max="14339" width="23.7109375" style="140" customWidth="1"/>
    <col min="14340" max="14340" width="14" style="140" customWidth="1"/>
    <col min="14341" max="14341" width="15" style="140" customWidth="1"/>
    <col min="14342" max="14342" width="21.28515625" style="140" customWidth="1"/>
    <col min="14343" max="14343" width="15.85546875" style="140" customWidth="1"/>
    <col min="14344" max="14344" width="18.28515625" style="140" customWidth="1"/>
    <col min="14345" max="14345" width="16.28515625" style="140" customWidth="1"/>
    <col min="14346" max="14550" width="11.42578125" style="140"/>
    <col min="14551" max="14562" width="2.7109375" style="140" customWidth="1"/>
    <col min="14563" max="14564" width="6.140625" style="140" customWidth="1"/>
    <col min="14565" max="14573" width="2.7109375" style="140" customWidth="1"/>
    <col min="14574" max="14574" width="14.7109375" style="140" customWidth="1"/>
    <col min="14575" max="14575" width="6.28515625" style="140" customWidth="1"/>
    <col min="14576" max="14586" width="2.7109375" style="140" customWidth="1"/>
    <col min="14587" max="14587" width="25.42578125" style="140" customWidth="1"/>
    <col min="14588" max="14588" width="17.85546875" style="140" customWidth="1"/>
    <col min="14589" max="14589" width="15.85546875" style="140" customWidth="1"/>
    <col min="14590" max="14590" width="14.7109375" style="140" customWidth="1"/>
    <col min="14591" max="14591" width="15.85546875" style="140" customWidth="1"/>
    <col min="14592" max="14592" width="15" style="140" customWidth="1"/>
    <col min="14593" max="14593" width="18.140625" style="140" customWidth="1"/>
    <col min="14594" max="14594" width="22.42578125" style="140" customWidth="1"/>
    <col min="14595" max="14595" width="23.7109375" style="140" customWidth="1"/>
    <col min="14596" max="14596" width="14" style="140" customWidth="1"/>
    <col min="14597" max="14597" width="15" style="140" customWidth="1"/>
    <col min="14598" max="14598" width="21.28515625" style="140" customWidth="1"/>
    <col min="14599" max="14599" width="15.85546875" style="140" customWidth="1"/>
    <col min="14600" max="14600" width="18.28515625" style="140" customWidth="1"/>
    <col min="14601" max="14601" width="16.28515625" style="140" customWidth="1"/>
    <col min="14602" max="14806" width="11.42578125" style="140"/>
    <col min="14807" max="14818" width="2.7109375" style="140" customWidth="1"/>
    <col min="14819" max="14820" width="6.140625" style="140" customWidth="1"/>
    <col min="14821" max="14829" width="2.7109375" style="140" customWidth="1"/>
    <col min="14830" max="14830" width="14.7109375" style="140" customWidth="1"/>
    <col min="14831" max="14831" width="6.28515625" style="140" customWidth="1"/>
    <col min="14832" max="14842" width="2.7109375" style="140" customWidth="1"/>
    <col min="14843" max="14843" width="25.42578125" style="140" customWidth="1"/>
    <col min="14844" max="14844" width="17.85546875" style="140" customWidth="1"/>
    <col min="14845" max="14845" width="15.85546875" style="140" customWidth="1"/>
    <col min="14846" max="14846" width="14.7109375" style="140" customWidth="1"/>
    <col min="14847" max="14847" width="15.85546875" style="140" customWidth="1"/>
    <col min="14848" max="14848" width="15" style="140" customWidth="1"/>
    <col min="14849" max="14849" width="18.140625" style="140" customWidth="1"/>
    <col min="14850" max="14850" width="22.42578125" style="140" customWidth="1"/>
    <col min="14851" max="14851" width="23.7109375" style="140" customWidth="1"/>
    <col min="14852" max="14852" width="14" style="140" customWidth="1"/>
    <col min="14853" max="14853" width="15" style="140" customWidth="1"/>
    <col min="14854" max="14854" width="21.28515625" style="140" customWidth="1"/>
    <col min="14855" max="14855" width="15.85546875" style="140" customWidth="1"/>
    <col min="14856" max="14856" width="18.28515625" style="140" customWidth="1"/>
    <col min="14857" max="14857" width="16.28515625" style="140" customWidth="1"/>
    <col min="14858" max="15062" width="11.42578125" style="140"/>
    <col min="15063" max="15074" width="2.7109375" style="140" customWidth="1"/>
    <col min="15075" max="15076" width="6.140625" style="140" customWidth="1"/>
    <col min="15077" max="15085" width="2.7109375" style="140" customWidth="1"/>
    <col min="15086" max="15086" width="14.7109375" style="140" customWidth="1"/>
    <col min="15087" max="15087" width="6.28515625" style="140" customWidth="1"/>
    <col min="15088" max="15098" width="2.7109375" style="140" customWidth="1"/>
    <col min="15099" max="15099" width="25.42578125" style="140" customWidth="1"/>
    <col min="15100" max="15100" width="17.85546875" style="140" customWidth="1"/>
    <col min="15101" max="15101" width="15.85546875" style="140" customWidth="1"/>
    <col min="15102" max="15102" width="14.7109375" style="140" customWidth="1"/>
    <col min="15103" max="15103" width="15.85546875" style="140" customWidth="1"/>
    <col min="15104" max="15104" width="15" style="140" customWidth="1"/>
    <col min="15105" max="15105" width="18.140625" style="140" customWidth="1"/>
    <col min="15106" max="15106" width="22.42578125" style="140" customWidth="1"/>
    <col min="15107" max="15107" width="23.7109375" style="140" customWidth="1"/>
    <col min="15108" max="15108" width="14" style="140" customWidth="1"/>
    <col min="15109" max="15109" width="15" style="140" customWidth="1"/>
    <col min="15110" max="15110" width="21.28515625" style="140" customWidth="1"/>
    <col min="15111" max="15111" width="15.85546875" style="140" customWidth="1"/>
    <col min="15112" max="15112" width="18.28515625" style="140" customWidth="1"/>
    <col min="15113" max="15113" width="16.28515625" style="140" customWidth="1"/>
    <col min="15114" max="15318" width="11.42578125" style="140"/>
    <col min="15319" max="15330" width="2.7109375" style="140" customWidth="1"/>
    <col min="15331" max="15332" width="6.140625" style="140" customWidth="1"/>
    <col min="15333" max="15341" width="2.7109375" style="140" customWidth="1"/>
    <col min="15342" max="15342" width="14.7109375" style="140" customWidth="1"/>
    <col min="15343" max="15343" width="6.28515625" style="140" customWidth="1"/>
    <col min="15344" max="15354" width="2.7109375" style="140" customWidth="1"/>
    <col min="15355" max="15355" width="25.42578125" style="140" customWidth="1"/>
    <col min="15356" max="15356" width="17.85546875" style="140" customWidth="1"/>
    <col min="15357" max="15357" width="15.85546875" style="140" customWidth="1"/>
    <col min="15358" max="15358" width="14.7109375" style="140" customWidth="1"/>
    <col min="15359" max="15359" width="15.85546875" style="140" customWidth="1"/>
    <col min="15360" max="15360" width="15" style="140" customWidth="1"/>
    <col min="15361" max="15361" width="18.140625" style="140" customWidth="1"/>
    <col min="15362" max="15362" width="22.42578125" style="140" customWidth="1"/>
    <col min="15363" max="15363" width="23.7109375" style="140" customWidth="1"/>
    <col min="15364" max="15364" width="14" style="140" customWidth="1"/>
    <col min="15365" max="15365" width="15" style="140" customWidth="1"/>
    <col min="15366" max="15366" width="21.28515625" style="140" customWidth="1"/>
    <col min="15367" max="15367" width="15.85546875" style="140" customWidth="1"/>
    <col min="15368" max="15368" width="18.28515625" style="140" customWidth="1"/>
    <col min="15369" max="15369" width="16.28515625" style="140" customWidth="1"/>
    <col min="15370" max="15574" width="11.42578125" style="140"/>
    <col min="15575" max="15586" width="2.7109375" style="140" customWidth="1"/>
    <col min="15587" max="15588" width="6.140625" style="140" customWidth="1"/>
    <col min="15589" max="15597" width="2.7109375" style="140" customWidth="1"/>
    <col min="15598" max="15598" width="14.7109375" style="140" customWidth="1"/>
    <col min="15599" max="15599" width="6.28515625" style="140" customWidth="1"/>
    <col min="15600" max="15610" width="2.7109375" style="140" customWidth="1"/>
    <col min="15611" max="15611" width="25.42578125" style="140" customWidth="1"/>
    <col min="15612" max="15612" width="17.85546875" style="140" customWidth="1"/>
    <col min="15613" max="15613" width="15.85546875" style="140" customWidth="1"/>
    <col min="15614" max="15614" width="14.7109375" style="140" customWidth="1"/>
    <col min="15615" max="15615" width="15.85546875" style="140" customWidth="1"/>
    <col min="15616" max="15616" width="15" style="140" customWidth="1"/>
    <col min="15617" max="15617" width="18.140625" style="140" customWidth="1"/>
    <col min="15618" max="15618" width="22.42578125" style="140" customWidth="1"/>
    <col min="15619" max="15619" width="23.7109375" style="140" customWidth="1"/>
    <col min="15620" max="15620" width="14" style="140" customWidth="1"/>
    <col min="15621" max="15621" width="15" style="140" customWidth="1"/>
    <col min="15622" max="15622" width="21.28515625" style="140" customWidth="1"/>
    <col min="15623" max="15623" width="15.85546875" style="140" customWidth="1"/>
    <col min="15624" max="15624" width="18.28515625" style="140" customWidth="1"/>
    <col min="15625" max="15625" width="16.28515625" style="140" customWidth="1"/>
    <col min="15626" max="15830" width="11.42578125" style="140"/>
    <col min="15831" max="15842" width="2.7109375" style="140" customWidth="1"/>
    <col min="15843" max="15844" width="6.140625" style="140" customWidth="1"/>
    <col min="15845" max="15853" width="2.7109375" style="140" customWidth="1"/>
    <col min="15854" max="15854" width="14.7109375" style="140" customWidth="1"/>
    <col min="15855" max="15855" width="6.28515625" style="140" customWidth="1"/>
    <col min="15856" max="15866" width="2.7109375" style="140" customWidth="1"/>
    <col min="15867" max="15867" width="25.42578125" style="140" customWidth="1"/>
    <col min="15868" max="15868" width="17.85546875" style="140" customWidth="1"/>
    <col min="15869" max="15869" width="15.85546875" style="140" customWidth="1"/>
    <col min="15870" max="15870" width="14.7109375" style="140" customWidth="1"/>
    <col min="15871" max="15871" width="15.85546875" style="140" customWidth="1"/>
    <col min="15872" max="15872" width="15" style="140" customWidth="1"/>
    <col min="15873" max="15873" width="18.140625" style="140" customWidth="1"/>
    <col min="15874" max="15874" width="22.42578125" style="140" customWidth="1"/>
    <col min="15875" max="15875" width="23.7109375" style="140" customWidth="1"/>
    <col min="15876" max="15876" width="14" style="140" customWidth="1"/>
    <col min="15877" max="15877" width="15" style="140" customWidth="1"/>
    <col min="15878" max="15878" width="21.28515625" style="140" customWidth="1"/>
    <col min="15879" max="15879" width="15.85546875" style="140" customWidth="1"/>
    <col min="15880" max="15880" width="18.28515625" style="140" customWidth="1"/>
    <col min="15881" max="15881" width="16.28515625" style="140" customWidth="1"/>
    <col min="15882" max="16086" width="11.42578125" style="140"/>
    <col min="16087" max="16098" width="2.7109375" style="140" customWidth="1"/>
    <col min="16099" max="16100" width="6.140625" style="140" customWidth="1"/>
    <col min="16101" max="16109" width="2.7109375" style="140" customWidth="1"/>
    <col min="16110" max="16110" width="14.7109375" style="140" customWidth="1"/>
    <col min="16111" max="16111" width="6.28515625" style="140" customWidth="1"/>
    <col min="16112" max="16122" width="2.7109375" style="140" customWidth="1"/>
    <col min="16123" max="16123" width="25.42578125" style="140" customWidth="1"/>
    <col min="16124" max="16124" width="17.85546875" style="140" customWidth="1"/>
    <col min="16125" max="16125" width="15.85546875" style="140" customWidth="1"/>
    <col min="16126" max="16126" width="14.7109375" style="140" customWidth="1"/>
    <col min="16127" max="16127" width="15.85546875" style="140" customWidth="1"/>
    <col min="16128" max="16128" width="15" style="140" customWidth="1"/>
    <col min="16129" max="16129" width="18.140625" style="140" customWidth="1"/>
    <col min="16130" max="16130" width="22.42578125" style="140" customWidth="1"/>
    <col min="16131" max="16131" width="23.7109375" style="140" customWidth="1"/>
    <col min="16132" max="16132" width="14" style="140" customWidth="1"/>
    <col min="16133" max="16133" width="15" style="140" customWidth="1"/>
    <col min="16134" max="16134" width="21.28515625" style="140" customWidth="1"/>
    <col min="16135" max="16135" width="15.85546875" style="140" customWidth="1"/>
    <col min="16136" max="16136" width="18.28515625" style="140" customWidth="1"/>
    <col min="16137" max="16137" width="16.28515625" style="140" customWidth="1"/>
    <col min="16138" max="16384" width="11.42578125" style="140"/>
  </cols>
  <sheetData>
    <row r="1" spans="1:22" s="184" customFormat="1" ht="14.1" customHeight="1">
      <c r="A1" s="2210"/>
      <c r="B1" s="2211"/>
      <c r="C1" s="1253" t="s">
        <v>8</v>
      </c>
      <c r="D1" s="1254"/>
      <c r="E1" s="1254"/>
      <c r="F1" s="1254"/>
      <c r="G1" s="1254"/>
      <c r="H1" s="1255"/>
    </row>
    <row r="2" spans="1:22" s="184" customFormat="1" ht="14.1" customHeight="1">
      <c r="A2" s="2212"/>
      <c r="B2" s="2213"/>
      <c r="C2" s="1256" t="s">
        <v>130</v>
      </c>
      <c r="D2" s="1257"/>
      <c r="E2" s="1257"/>
      <c r="F2" s="1257"/>
      <c r="G2" s="1257"/>
      <c r="H2" s="1258"/>
    </row>
    <row r="3" spans="1:22" s="184" customFormat="1" ht="14.1" customHeight="1">
      <c r="A3" s="2212"/>
      <c r="B3" s="2213"/>
      <c r="C3" s="1256" t="s">
        <v>438</v>
      </c>
      <c r="D3" s="1257"/>
      <c r="E3" s="1257"/>
      <c r="F3" s="1257"/>
      <c r="G3" s="1257"/>
      <c r="H3" s="1258"/>
      <c r="L3" s="185"/>
      <c r="M3" s="185"/>
      <c r="N3" s="185"/>
      <c r="O3" s="185"/>
      <c r="P3" s="185"/>
      <c r="Q3" s="185"/>
      <c r="R3" s="185"/>
      <c r="S3" s="185"/>
      <c r="T3" s="185"/>
      <c r="U3" s="185"/>
      <c r="V3" s="185"/>
    </row>
    <row r="4" spans="1:22" s="184" customFormat="1" ht="12.95" customHeight="1">
      <c r="A4" s="2212"/>
      <c r="B4" s="2213"/>
      <c r="C4" s="1262" t="s">
        <v>131</v>
      </c>
      <c r="D4" s="1263"/>
      <c r="E4" s="1263"/>
      <c r="F4" s="1264"/>
      <c r="G4" s="2216" t="s">
        <v>426</v>
      </c>
      <c r="H4" s="2217"/>
    </row>
    <row r="5" spans="1:22" s="184" customFormat="1" ht="12.95" customHeight="1">
      <c r="A5" s="2214"/>
      <c r="B5" s="2215"/>
      <c r="C5" s="1262" t="s">
        <v>466</v>
      </c>
      <c r="D5" s="1263"/>
      <c r="E5" s="1263"/>
      <c r="F5" s="1263"/>
      <c r="G5" s="1263"/>
      <c r="H5" s="1264"/>
    </row>
    <row r="6" spans="1:22" s="184" customFormat="1" ht="14.1" customHeight="1">
      <c r="A6" s="60" t="s">
        <v>5</v>
      </c>
      <c r="B6" s="1984" t="e">
        <f>IF(#REF!="","",#REF!)</f>
        <v>#REF!</v>
      </c>
      <c r="C6" s="1984"/>
      <c r="D6" s="1984"/>
      <c r="E6" s="1984"/>
      <c r="F6" s="2218" t="s">
        <v>229</v>
      </c>
      <c r="G6" s="2218"/>
      <c r="H6" s="631"/>
    </row>
    <row r="7" spans="1:22" s="184" customFormat="1" ht="14.1" customHeight="1">
      <c r="A7" s="60" t="s">
        <v>133</v>
      </c>
      <c r="B7" s="38" t="e">
        <f>IF(#REF!="","",+#REF!)</f>
        <v>#REF!</v>
      </c>
      <c r="C7" s="646" t="s">
        <v>17</v>
      </c>
      <c r="D7" s="1984" t="e">
        <f>IF(#REF!="","",#REF!)</f>
        <v>#REF!</v>
      </c>
      <c r="E7" s="1984"/>
      <c r="F7" s="643" t="s">
        <v>31</v>
      </c>
      <c r="G7" s="643"/>
      <c r="H7" s="61" t="e">
        <f>IF(#REF!="","",+#REF!)</f>
        <v>#REF!</v>
      </c>
    </row>
    <row r="8" spans="1:22" s="184" customFormat="1" ht="14.1" customHeight="1">
      <c r="A8" s="60" t="s">
        <v>323</v>
      </c>
      <c r="B8" s="725" t="e">
        <f>IF(#REF!="","",+#REF!)</f>
        <v>#REF!</v>
      </c>
      <c r="C8" s="645" t="s">
        <v>18</v>
      </c>
      <c r="D8" s="2224" t="e">
        <f>IF(#REF!="","",#REF!)</f>
        <v>#REF!</v>
      </c>
      <c r="E8" s="2224"/>
      <c r="F8" s="2205" t="s">
        <v>266</v>
      </c>
      <c r="G8" s="2205"/>
      <c r="H8" s="627" t="e">
        <f>IF(#REF!="","",+#REF!)</f>
        <v>#REF!</v>
      </c>
      <c r="I8" s="190"/>
    </row>
    <row r="9" spans="1:22" s="184" customFormat="1" ht="14.1" customHeight="1">
      <c r="A9" s="525" t="s">
        <v>6</v>
      </c>
      <c r="B9" s="1985" t="e">
        <f>IF(#REF!="","",+#REF!)</f>
        <v>#REF!</v>
      </c>
      <c r="C9" s="1985"/>
      <c r="D9" s="1985"/>
      <c r="E9" s="1985"/>
      <c r="F9" s="655" t="s">
        <v>462</v>
      </c>
      <c r="G9" s="654"/>
      <c r="H9" s="61" t="e">
        <f>IF(#REF!="","",+#REF!)</f>
        <v>#REF!</v>
      </c>
    </row>
    <row r="10" spans="1:22" s="184" customFormat="1" ht="18" customHeight="1">
      <c r="A10" s="1674" t="s">
        <v>137</v>
      </c>
      <c r="B10" s="1675"/>
      <c r="C10" s="1675"/>
      <c r="D10" s="1675"/>
      <c r="E10" s="1675"/>
      <c r="F10" s="23">
        <v>1</v>
      </c>
      <c r="G10" s="565">
        <v>2</v>
      </c>
      <c r="H10" s="23">
        <v>3</v>
      </c>
    </row>
    <row r="11" spans="1:22" s="184" customFormat="1" ht="12.95" customHeight="1">
      <c r="A11" s="2206" t="s">
        <v>308</v>
      </c>
      <c r="B11" s="2207"/>
      <c r="C11" s="2207"/>
      <c r="D11" s="2220" t="s">
        <v>289</v>
      </c>
      <c r="E11" s="2221"/>
      <c r="F11" s="636" t="str">
        <f>IF(' CBR 1'!AW11="","",' CBR 1'!AW11)</f>
        <v/>
      </c>
      <c r="G11" s="584" t="str">
        <f>IF(' CBR 1'!AX11="","",' CBR 1'!AX11)</f>
        <v/>
      </c>
      <c r="H11" s="636" t="str">
        <f>IF(' CBR 1'!AZ11="","",' CBR 1'!AZ11)</f>
        <v/>
      </c>
    </row>
    <row r="12" spans="1:22" s="184" customFormat="1" ht="12.95" customHeight="1">
      <c r="A12" s="2208" t="s">
        <v>138</v>
      </c>
      <c r="B12" s="2209"/>
      <c r="C12" s="2209"/>
      <c r="D12" s="572" t="s">
        <v>290</v>
      </c>
      <c r="E12" s="573" t="s">
        <v>82</v>
      </c>
      <c r="F12" s="633" t="str">
        <f>IF(' CBR 1'!AW12="","",(' CBR 1'!AW12))</f>
        <v/>
      </c>
      <c r="G12" s="576" t="str">
        <f>IF(' CBR 1'!AX12="","",' CBR 1'!AX12)</f>
        <v/>
      </c>
      <c r="H12" s="633" t="str">
        <f>IF(' CBR 1'!AZ12="","",' CBR 1'!AZ12)</f>
        <v/>
      </c>
    </row>
    <row r="13" spans="1:22" s="184" customFormat="1" ht="12.95" customHeight="1">
      <c r="A13" s="2208" t="s">
        <v>140</v>
      </c>
      <c r="B13" s="2209"/>
      <c r="C13" s="2209"/>
      <c r="D13" s="572" t="s">
        <v>291</v>
      </c>
      <c r="E13" s="573" t="s">
        <v>82</v>
      </c>
      <c r="F13" s="633" t="str">
        <f>IF(' CBR 1'!AW13="","",' CBR 1'!AW13)</f>
        <v/>
      </c>
      <c r="G13" s="576" t="str">
        <f>IF(' CBR 1'!AX13="","",' CBR 1'!AX13)</f>
        <v/>
      </c>
      <c r="H13" s="633" t="str">
        <f>IF(' CBR 1'!AZ13="","",' CBR 1'!AZ13)</f>
        <v/>
      </c>
    </row>
    <row r="14" spans="1:22" s="184" customFormat="1" ht="12.95" customHeight="1">
      <c r="A14" s="2208" t="s">
        <v>141</v>
      </c>
      <c r="B14" s="2209"/>
      <c r="C14" s="2209"/>
      <c r="D14" s="572" t="s">
        <v>292</v>
      </c>
      <c r="E14" s="572" t="s">
        <v>82</v>
      </c>
      <c r="F14" s="633" t="str">
        <f>IF(' CBR 1'!AW14="","",' CBR 1'!AW14)</f>
        <v/>
      </c>
      <c r="G14" s="576" t="str">
        <f>IF(' CBR 1'!AX14="","",' CBR 1'!AX14)</f>
        <v/>
      </c>
      <c r="H14" s="633" t="str">
        <f>IF(' CBR 1'!AZ14="","",' CBR 1'!AZ14)</f>
        <v/>
      </c>
    </row>
    <row r="15" spans="1:22" s="184" customFormat="1" ht="12.95" customHeight="1">
      <c r="A15" s="2208" t="s">
        <v>142</v>
      </c>
      <c r="B15" s="2209"/>
      <c r="C15" s="2209"/>
      <c r="D15" s="572" t="s">
        <v>293</v>
      </c>
      <c r="E15" s="572" t="s">
        <v>143</v>
      </c>
      <c r="F15" s="575" t="str">
        <f>IF(' CBR 1'!AW15="","",' CBR 1'!AW15)</f>
        <v/>
      </c>
      <c r="G15" s="576" t="str">
        <f>IF(' CBR 1'!AX15="","",' CBR 1'!AX15)</f>
        <v/>
      </c>
      <c r="H15" s="574" t="str">
        <f>IF(' CBR 1'!AZ15="","",' CBR 1'!AZ15)</f>
        <v/>
      </c>
    </row>
    <row r="16" spans="1:22" s="184" customFormat="1" ht="12.95" customHeight="1">
      <c r="A16" s="2208" t="s">
        <v>144</v>
      </c>
      <c r="B16" s="2209"/>
      <c r="C16" s="2209"/>
      <c r="D16" s="572" t="s">
        <v>294</v>
      </c>
      <c r="E16" s="572" t="s">
        <v>82</v>
      </c>
      <c r="F16" s="574" t="str">
        <f>IF(' CBR 1'!AW16="","",' CBR 1'!AW16)</f>
        <v/>
      </c>
      <c r="G16" s="574" t="str">
        <f>IF(' CBR 1'!AX16="","",' CBR 1'!AX16)</f>
        <v/>
      </c>
      <c r="H16" s="574" t="str">
        <f>IF(' CBR 1'!AZ16="","",' CBR 1'!AZ16)</f>
        <v/>
      </c>
    </row>
    <row r="17" spans="1:9" s="184" customFormat="1" ht="12.95" customHeight="1">
      <c r="A17" s="2219" t="s">
        <v>307</v>
      </c>
      <c r="B17" s="2033"/>
      <c r="C17" s="2033"/>
      <c r="D17" s="28" t="s">
        <v>295</v>
      </c>
      <c r="E17" s="28" t="s">
        <v>145</v>
      </c>
      <c r="F17" s="58" t="str">
        <f>IF(' CBR 1'!AW17="","",' CBR 1'!AW17)</f>
        <v/>
      </c>
      <c r="G17" s="58" t="str">
        <f>IF(' CBR 1'!AX17="","",' CBR 1'!AX17)</f>
        <v/>
      </c>
      <c r="H17" s="58" t="str">
        <f>IF(' CBR 1'!AZ17="","",' CBR 1'!AZ17)</f>
        <v/>
      </c>
    </row>
    <row r="18" spans="1:9" s="184" customFormat="1" ht="12.95" customHeight="1">
      <c r="A18" s="2222" t="s">
        <v>146</v>
      </c>
      <c r="B18" s="2026"/>
      <c r="C18" s="2026"/>
      <c r="D18" s="2026"/>
      <c r="E18" s="2026"/>
      <c r="F18" s="2026"/>
      <c r="G18" s="2026"/>
      <c r="H18" s="2223"/>
    </row>
    <row r="19" spans="1:9" s="184" customFormat="1" ht="12.95" customHeight="1">
      <c r="A19" s="1741" t="s">
        <v>148</v>
      </c>
      <c r="B19" s="1694"/>
      <c r="C19" s="1694"/>
      <c r="D19" s="577" t="s">
        <v>296</v>
      </c>
      <c r="E19" s="578" t="s">
        <v>82</v>
      </c>
      <c r="F19" s="634" t="str">
        <f>IF(' CBR 1'!AW19="","",' CBR 1'!AW19)</f>
        <v/>
      </c>
      <c r="G19" s="632" t="str">
        <f>IF(' CBR 1'!AX19="","",' CBR 1'!AX19)</f>
        <v/>
      </c>
      <c r="H19" s="635" t="str">
        <f>IF(' CBR 1'!AZ19="","",' CBR 1'!AZ19)</f>
        <v/>
      </c>
    </row>
    <row r="20" spans="1:9" ht="12.95" customHeight="1">
      <c r="A20" s="2208" t="s">
        <v>150</v>
      </c>
      <c r="B20" s="2209"/>
      <c r="C20" s="2209"/>
      <c r="D20" s="572" t="s">
        <v>297</v>
      </c>
      <c r="E20" s="580" t="s">
        <v>82</v>
      </c>
      <c r="F20" s="581" t="str">
        <f>IF(' CBR 1'!AW20="","",' CBR 1'!AW20)</f>
        <v/>
      </c>
      <c r="G20" s="576" t="str">
        <f>IF(' CBR 1'!AX20="","",' CBR 1'!AX20)</f>
        <v/>
      </c>
      <c r="H20" s="582" t="str">
        <f>IF(' CBR 1'!AZ20="","",' CBR 1'!AZ20)</f>
        <v/>
      </c>
    </row>
    <row r="21" spans="1:9" s="162" customFormat="1" ht="12.95" customHeight="1">
      <c r="A21" s="2208" t="s">
        <v>151</v>
      </c>
      <c r="B21" s="2209"/>
      <c r="C21" s="2209"/>
      <c r="D21" s="572" t="s">
        <v>298</v>
      </c>
      <c r="E21" s="580" t="s">
        <v>82</v>
      </c>
      <c r="F21" s="581" t="str">
        <f>IF(' CBR 1'!AW21="","",' CBR 1'!AW21)</f>
        <v/>
      </c>
      <c r="G21" s="576" t="str">
        <f>IF(' CBR 1'!AX21="","",' CBR 1'!AX21)</f>
        <v/>
      </c>
      <c r="H21" s="582" t="str">
        <f>IF(' CBR 1'!AZ21="","",' CBR 1'!AZ21)</f>
        <v/>
      </c>
      <c r="I21" s="202"/>
    </row>
    <row r="22" spans="1:9" s="206" customFormat="1" ht="12.95" customHeight="1">
      <c r="A22" s="2208" t="s">
        <v>152</v>
      </c>
      <c r="B22" s="2209"/>
      <c r="C22" s="2209"/>
      <c r="D22" s="572" t="s">
        <v>299</v>
      </c>
      <c r="E22" s="580" t="s">
        <v>82</v>
      </c>
      <c r="F22" s="581" t="str">
        <f>IF(' CBR 1'!AW22="","",' CBR 1'!AW22)</f>
        <v/>
      </c>
      <c r="G22" s="576" t="str">
        <f>IF(' CBR 1'!AX22="","",' CBR 1'!AX22)</f>
        <v/>
      </c>
      <c r="H22" s="582" t="str">
        <f>IF(' CBR 1'!AZ22="","",' CBR 1'!AZ22)</f>
        <v/>
      </c>
    </row>
    <row r="23" spans="1:9" ht="12.95" customHeight="1">
      <c r="A23" s="2208" t="s">
        <v>155</v>
      </c>
      <c r="B23" s="2209"/>
      <c r="C23" s="2209"/>
      <c r="D23" s="572" t="s">
        <v>300</v>
      </c>
      <c r="E23" s="580" t="s">
        <v>82</v>
      </c>
      <c r="F23" s="581" t="str">
        <f>IF(' CBR 1'!AW23="","",' CBR 1'!AW23)</f>
        <v/>
      </c>
      <c r="G23" s="576" t="str">
        <f>IF(' CBR 1'!AX23="","",' CBR 1'!AX23)</f>
        <v/>
      </c>
      <c r="H23" s="582" t="str">
        <f>IF(' CBR 1'!AZ23="","",' CBR 1'!AZ23)</f>
        <v/>
      </c>
      <c r="I23" s="140"/>
    </row>
    <row r="24" spans="1:9" ht="12.95" customHeight="1">
      <c r="A24" s="2233" t="s">
        <v>306</v>
      </c>
      <c r="B24" s="1546"/>
      <c r="C24" s="1546"/>
      <c r="D24" s="29" t="s">
        <v>301</v>
      </c>
      <c r="E24" s="30" t="s">
        <v>86</v>
      </c>
      <c r="F24" s="22" t="str">
        <f>IF(' CBR 1'!AW24="","",' CBR 1'!AW24)</f>
        <v/>
      </c>
      <c r="G24" s="579" t="str">
        <f>IF(' CBR 1'!AX24="","",' CBR 1'!AX24)</f>
        <v/>
      </c>
      <c r="H24" s="43" t="str">
        <f>IF(' CBR 1'!AZ24="","",' CBR 1'!AZ24)</f>
        <v/>
      </c>
      <c r="I24" s="140"/>
    </row>
    <row r="25" spans="1:9" ht="12.95" customHeight="1">
      <c r="A25" s="2229" t="s">
        <v>159</v>
      </c>
      <c r="B25" s="2028"/>
      <c r="C25" s="2028"/>
      <c r="D25" s="2028"/>
      <c r="E25" s="2028"/>
      <c r="F25" s="2028"/>
      <c r="G25" s="2028"/>
      <c r="H25" s="2230"/>
      <c r="I25" s="140"/>
    </row>
    <row r="26" spans="1:9" ht="12.95" customHeight="1">
      <c r="A26" s="1741" t="s">
        <v>160</v>
      </c>
      <c r="B26" s="1694"/>
      <c r="C26" s="1694"/>
      <c r="D26" s="577" t="s">
        <v>295</v>
      </c>
      <c r="E26" s="578" t="s">
        <v>145</v>
      </c>
      <c r="F26" s="583" t="str">
        <f>IF(' CBR 1'!AW26="","",' CBR 1'!AW26)</f>
        <v/>
      </c>
      <c r="G26" s="584" t="str">
        <f>IF(' CBR 1'!AX26="","",' CBR 1'!AX26)</f>
        <v/>
      </c>
      <c r="H26" s="585" t="str">
        <f>IF(' CBR 1'!AY26="","",' CBR 1'!AY26)</f>
        <v/>
      </c>
      <c r="I26" s="140"/>
    </row>
    <row r="27" spans="1:9" ht="12.95" customHeight="1">
      <c r="A27" s="2234" t="s">
        <v>160</v>
      </c>
      <c r="B27" s="2235"/>
      <c r="C27" s="2235"/>
      <c r="D27" s="593" t="s">
        <v>295</v>
      </c>
      <c r="E27" s="594" t="s">
        <v>162</v>
      </c>
      <c r="F27" s="595" t="str">
        <f>IF(' CBR 1'!AW27="","",' CBR 1'!AW27)</f>
        <v/>
      </c>
      <c r="G27" s="596" t="str">
        <f>IF(' CBR 1'!AX27="","",' CBR 1'!AX27)</f>
        <v/>
      </c>
      <c r="H27" s="597" t="str">
        <f>IF(' CBR 1'!AY27="","",' CBR 1'!AY27)</f>
        <v/>
      </c>
      <c r="I27" s="140"/>
    </row>
    <row r="28" spans="1:9" ht="12.95" customHeight="1">
      <c r="A28" s="2236" t="s">
        <v>164</v>
      </c>
      <c r="B28" s="2237"/>
      <c r="C28" s="2237"/>
      <c r="D28" s="589"/>
      <c r="E28" s="590" t="s">
        <v>86</v>
      </c>
      <c r="F28" s="591" t="str">
        <f>IF(' CBR 1'!AW28="","",' CBR 1'!AW28)</f>
        <v/>
      </c>
      <c r="G28" s="592" t="str">
        <f>IF(' CBR 1'!AX28="","",' CBR 1'!AX28)</f>
        <v/>
      </c>
      <c r="H28" s="588" t="str">
        <f>IF(' CBR 1'!AY28="","",' CBR 1'!AY28)</f>
        <v/>
      </c>
      <c r="I28" s="140"/>
    </row>
    <row r="29" spans="1:9" ht="12.95" customHeight="1">
      <c r="A29" s="2233" t="s">
        <v>168</v>
      </c>
      <c r="B29" s="1546"/>
      <c r="C29" s="1546"/>
      <c r="D29" s="29"/>
      <c r="E29" s="30" t="s">
        <v>86</v>
      </c>
      <c r="F29" s="586" t="str">
        <f>IF(' CBR 1'!AW29="","",' CBR 1'!AW29)</f>
        <v/>
      </c>
      <c r="G29" s="587" t="str">
        <f>IF(' CBR 1'!AX29="","",' CBR 1'!AX29)</f>
        <v/>
      </c>
      <c r="H29" s="44" t="str">
        <f>IF(' CBR 1'!AY29="","",' CBR 1'!AY29)</f>
        <v/>
      </c>
      <c r="I29" s="140"/>
    </row>
    <row r="30" spans="1:9" ht="11.1" customHeight="1">
      <c r="A30" s="607"/>
      <c r="B30" s="155"/>
      <c r="C30" s="155"/>
      <c r="D30" s="155"/>
      <c r="E30" s="461"/>
      <c r="F30" s="462"/>
      <c r="G30" s="462"/>
      <c r="H30" s="526"/>
      <c r="I30" s="140"/>
    </row>
    <row r="31" spans="1:9" ht="11.1" customHeight="1">
      <c r="A31" s="608"/>
      <c r="B31" s="155"/>
      <c r="C31" s="155"/>
      <c r="D31" s="155"/>
      <c r="E31" s="2248" t="s">
        <v>172</v>
      </c>
      <c r="F31" s="2249"/>
      <c r="G31" s="2249"/>
      <c r="H31" s="2250"/>
      <c r="I31" s="140"/>
    </row>
    <row r="32" spans="1:9" ht="11.1" customHeight="1">
      <c r="A32" s="608"/>
      <c r="B32" s="155"/>
      <c r="C32" s="155"/>
      <c r="D32" s="155"/>
      <c r="E32" s="5" t="s">
        <v>310</v>
      </c>
      <c r="F32" s="461"/>
      <c r="G32" s="527" t="s">
        <v>313</v>
      </c>
      <c r="H32" s="528" t="str">
        <f>IF(' CBR 1'!AZ32="","",' CBR 1'!AZ32)</f>
        <v>N.A</v>
      </c>
      <c r="I32" s="140"/>
    </row>
    <row r="33" spans="1:12" ht="11.1" customHeight="1">
      <c r="A33" s="608"/>
      <c r="B33" s="155"/>
      <c r="C33" s="155"/>
      <c r="D33" s="155"/>
      <c r="E33" s="51" t="s">
        <v>311</v>
      </c>
      <c r="F33" s="469"/>
      <c r="G33" s="529" t="s">
        <v>312</v>
      </c>
      <c r="H33" s="530" t="str">
        <f>IF(' CBR 1'!AZ33="","",' CBR 1'!AZ33)</f>
        <v>N.A</v>
      </c>
      <c r="I33" s="140"/>
    </row>
    <row r="34" spans="1:12" ht="11.1" customHeight="1">
      <c r="A34" s="608"/>
      <c r="B34" s="155"/>
      <c r="C34" s="155"/>
      <c r="D34" s="155"/>
      <c r="E34" s="461"/>
      <c r="F34" s="461"/>
      <c r="G34" s="461"/>
      <c r="H34" s="531"/>
      <c r="I34" s="140"/>
    </row>
    <row r="35" spans="1:12" ht="11.1" customHeight="1">
      <c r="A35" s="608"/>
      <c r="B35" s="155"/>
      <c r="C35" s="155"/>
      <c r="D35" s="155"/>
      <c r="E35" s="2238" t="s">
        <v>179</v>
      </c>
      <c r="F35" s="2239"/>
      <c r="G35" s="2239"/>
      <c r="H35" s="2240"/>
      <c r="I35" s="140"/>
    </row>
    <row r="36" spans="1:12" ht="11.1" customHeight="1">
      <c r="A36" s="608"/>
      <c r="B36" s="155"/>
      <c r="C36" s="155"/>
      <c r="D36" s="155"/>
      <c r="E36" s="2241"/>
      <c r="F36" s="2242"/>
      <c r="G36" s="2242"/>
      <c r="H36" s="2243"/>
      <c r="I36" s="140"/>
    </row>
    <row r="37" spans="1:12" ht="11.1" customHeight="1">
      <c r="A37" s="608"/>
      <c r="B37" s="155"/>
      <c r="C37" s="155"/>
      <c r="D37" s="155"/>
      <c r="E37" s="2251" t="s">
        <v>439</v>
      </c>
      <c r="F37" s="2252"/>
      <c r="G37" s="2252"/>
      <c r="H37" s="2253"/>
      <c r="I37" s="532" t="s">
        <v>444</v>
      </c>
      <c r="J37" s="461"/>
      <c r="K37" s="33"/>
      <c r="L37" s="45" t="str">
        <f>IF(' CBR 1'!AZ37="","",' CBR 1'!AZ37)</f>
        <v/>
      </c>
    </row>
    <row r="38" spans="1:12" s="214" customFormat="1" ht="11.1" customHeight="1">
      <c r="A38" s="608"/>
      <c r="B38" s="155"/>
      <c r="C38" s="155"/>
      <c r="D38" s="155"/>
      <c r="E38" s="2254"/>
      <c r="F38" s="2255"/>
      <c r="G38" s="2255"/>
      <c r="H38" s="2256"/>
      <c r="I38" s="533" t="s">
        <v>445</v>
      </c>
      <c r="J38" s="534"/>
      <c r="K38" s="49"/>
      <c r="L38" s="50"/>
    </row>
    <row r="39" spans="1:12" ht="11.1" customHeight="1">
      <c r="A39" s="608"/>
      <c r="B39" s="155"/>
      <c r="C39" s="155"/>
      <c r="D39" s="155"/>
      <c r="E39" s="461"/>
      <c r="F39" s="465"/>
      <c r="G39" s="465"/>
      <c r="H39" s="535"/>
      <c r="I39" s="140"/>
    </row>
    <row r="40" spans="1:12" ht="11.1" customHeight="1">
      <c r="A40" s="608"/>
      <c r="B40" s="155"/>
      <c r="C40" s="155"/>
      <c r="D40" s="155"/>
      <c r="E40" s="461"/>
      <c r="F40" s="465"/>
      <c r="G40" s="465"/>
      <c r="H40" s="535"/>
      <c r="I40" s="140"/>
    </row>
    <row r="41" spans="1:12" ht="11.1" customHeight="1">
      <c r="A41" s="608"/>
      <c r="B41" s="155"/>
      <c r="C41" s="155"/>
      <c r="D41" s="155"/>
      <c r="E41" s="461"/>
      <c r="F41" s="461"/>
      <c r="G41" s="461"/>
      <c r="H41" s="531"/>
      <c r="I41" s="140"/>
    </row>
    <row r="42" spans="1:12" ht="12" customHeight="1">
      <c r="A42" s="608"/>
      <c r="B42" s="155"/>
      <c r="C42" s="155"/>
      <c r="D42" s="155"/>
      <c r="E42" s="2244" t="s">
        <v>182</v>
      </c>
      <c r="F42" s="2245"/>
      <c r="G42" s="52" t="s">
        <v>183</v>
      </c>
      <c r="H42" s="2231" t="s">
        <v>184</v>
      </c>
      <c r="I42" s="140"/>
    </row>
    <row r="43" spans="1:12" ht="6" customHeight="1">
      <c r="A43" s="608"/>
      <c r="B43" s="155"/>
      <c r="C43" s="155"/>
      <c r="D43" s="155"/>
      <c r="E43" s="2246"/>
      <c r="F43" s="2247"/>
      <c r="G43" s="53"/>
      <c r="H43" s="2232"/>
      <c r="I43" s="140"/>
    </row>
    <row r="44" spans="1:12" ht="13.5" customHeight="1">
      <c r="A44" s="608"/>
      <c r="B44" s="155"/>
      <c r="C44" s="155"/>
      <c r="D44" s="155"/>
      <c r="E44" s="2225" t="s">
        <v>86</v>
      </c>
      <c r="F44" s="2226"/>
      <c r="G44" s="54" t="s">
        <v>318</v>
      </c>
      <c r="H44" s="46" t="s">
        <v>86</v>
      </c>
      <c r="I44" s="140"/>
    </row>
    <row r="45" spans="1:12" ht="11.1" customHeight="1">
      <c r="A45" s="608"/>
      <c r="B45" s="155"/>
      <c r="C45" s="155"/>
      <c r="D45" s="155"/>
      <c r="E45" s="2227">
        <f>IF(' CBR 1'!AW45="","",' CBR 1'!AW45)</f>
        <v>100</v>
      </c>
      <c r="F45" s="2228"/>
      <c r="G45" s="55" t="str">
        <f>IF(' CBR 1'!AX45="","",' CBR 1'!AX45)</f>
        <v/>
      </c>
      <c r="H45" s="47" t="str">
        <f>IF(' CBR 1'!AZ45="","",' CBR 1'!AZ45)</f>
        <v/>
      </c>
      <c r="I45" s="140"/>
    </row>
    <row r="46" spans="1:12" ht="11.1" customHeight="1">
      <c r="A46" s="608"/>
      <c r="B46" s="155"/>
      <c r="C46" s="155"/>
      <c r="D46" s="155"/>
      <c r="E46" s="2227">
        <f>IF(' CBR 1'!AW46="","",' CBR 1'!AW46)</f>
        <v>98</v>
      </c>
      <c r="F46" s="2228"/>
      <c r="G46" s="55" t="str">
        <f>IF(' CBR 1'!AX46="","",' CBR 1'!AX46)</f>
        <v/>
      </c>
      <c r="H46" s="47" t="str">
        <f>IF(' CBR 1'!AZ46="","",' CBR 1'!AZ46)</f>
        <v/>
      </c>
      <c r="I46" s="140"/>
    </row>
    <row r="47" spans="1:12" ht="11.1" customHeight="1">
      <c r="A47" s="608"/>
      <c r="B47" s="155"/>
      <c r="C47" s="155"/>
      <c r="D47" s="155"/>
      <c r="E47" s="2264">
        <f>IF(' CBR 1'!AW47="","",' CBR 1'!AW47)</f>
        <v>95</v>
      </c>
      <c r="F47" s="2265"/>
      <c r="G47" s="56" t="str">
        <f>IF(' CBR 1'!AX47="","",' CBR 1'!AX47)</f>
        <v/>
      </c>
      <c r="H47" s="48" t="str">
        <f>IF(' CBR 1'!AZ47="","",' CBR 1'!AZ47)</f>
        <v/>
      </c>
      <c r="I47" s="140"/>
    </row>
    <row r="48" spans="1:12" ht="11.1" customHeight="1">
      <c r="A48" s="609"/>
      <c r="B48" s="155"/>
      <c r="C48" s="155"/>
      <c r="D48" s="155"/>
      <c r="E48" s="467"/>
      <c r="F48" s="461"/>
      <c r="G48" s="461"/>
      <c r="H48" s="531"/>
      <c r="I48" s="140"/>
    </row>
    <row r="49" spans="1:9" ht="11.1" customHeight="1">
      <c r="A49" s="610"/>
      <c r="B49" s="611"/>
      <c r="C49" s="611"/>
      <c r="D49" s="611"/>
      <c r="E49" s="468"/>
      <c r="F49" s="468"/>
      <c r="G49" s="469"/>
      <c r="H49" s="536"/>
      <c r="I49" s="140"/>
    </row>
    <row r="50" spans="1:9" ht="23.25" customHeight="1">
      <c r="A50" s="2258" t="s">
        <v>19</v>
      </c>
      <c r="B50" s="2259"/>
      <c r="C50" s="2259"/>
      <c r="D50" s="2259"/>
      <c r="E50" s="2259"/>
      <c r="F50" s="2259"/>
      <c r="G50" s="2259"/>
      <c r="H50" s="2260"/>
      <c r="I50" s="140"/>
    </row>
    <row r="51" spans="1:9" ht="12.75" customHeight="1">
      <c r="A51" s="2261"/>
      <c r="B51" s="2262"/>
      <c r="C51" s="2262"/>
      <c r="D51" s="2262"/>
      <c r="E51" s="2262"/>
      <c r="F51" s="2262"/>
      <c r="G51" s="2262"/>
      <c r="H51" s="2263"/>
      <c r="I51" s="140"/>
    </row>
    <row r="52" spans="1:9" ht="14.1" customHeight="1">
      <c r="A52" s="1902"/>
      <c r="B52" s="2278"/>
      <c r="C52" s="1308" t="s">
        <v>9</v>
      </c>
      <c r="D52" s="1310"/>
      <c r="E52" s="1308" t="s">
        <v>10</v>
      </c>
      <c r="F52" s="1310"/>
      <c r="G52" s="1309" t="s">
        <v>11</v>
      </c>
      <c r="H52" s="1310"/>
      <c r="I52" s="140"/>
    </row>
    <row r="53" spans="1:9" ht="0.75" customHeight="1">
      <c r="A53" s="537" t="s">
        <v>20</v>
      </c>
      <c r="B53" s="472"/>
      <c r="C53" s="538"/>
      <c r="D53" s="539"/>
      <c r="E53" s="538"/>
      <c r="F53" s="531"/>
      <c r="G53" s="461"/>
      <c r="H53" s="540"/>
      <c r="I53" s="140"/>
    </row>
    <row r="54" spans="1:9" ht="37.5" customHeight="1">
      <c r="A54" s="1061" t="s">
        <v>12</v>
      </c>
      <c r="B54" s="938"/>
      <c r="C54" s="1580"/>
      <c r="D54" s="2272"/>
      <c r="E54" s="1580"/>
      <c r="F54" s="2272"/>
      <c r="G54" s="1581"/>
      <c r="H54" s="2272"/>
      <c r="I54" s="140"/>
    </row>
    <row r="55" spans="1:9" ht="12" customHeight="1">
      <c r="A55" s="1061" t="s">
        <v>456</v>
      </c>
      <c r="B55" s="938"/>
      <c r="C55" s="2268" t="s">
        <v>410</v>
      </c>
      <c r="D55" s="2269"/>
      <c r="E55" s="2273" t="s">
        <v>410</v>
      </c>
      <c r="F55" s="2269"/>
      <c r="G55" s="2274" t="s">
        <v>410</v>
      </c>
      <c r="H55" s="2275"/>
      <c r="I55" s="140"/>
    </row>
    <row r="56" spans="1:9" ht="12" customHeight="1">
      <c r="A56" s="2266" t="s">
        <v>13</v>
      </c>
      <c r="B56" s="2267"/>
      <c r="C56" s="2270"/>
      <c r="D56" s="2271"/>
      <c r="E56" s="2270" t="str">
        <f>IF(E55="--","",VLOOKUP(E55,firmas!A28:B31,2,0))</f>
        <v/>
      </c>
      <c r="F56" s="2271"/>
      <c r="G56" s="2276" t="str">
        <f>IF(G55="--","",VLOOKUP(G55,firmas!A33:B34,2))</f>
        <v/>
      </c>
      <c r="H56" s="2277"/>
      <c r="I56" s="140"/>
    </row>
    <row r="57" spans="1:9" ht="12" customHeight="1" thickBot="1">
      <c r="A57" s="904" t="s">
        <v>23</v>
      </c>
      <c r="B57" s="904"/>
      <c r="C57" s="904"/>
      <c r="D57" s="904"/>
      <c r="E57" s="904"/>
      <c r="F57" s="904"/>
      <c r="G57" s="904"/>
      <c r="H57" s="904"/>
      <c r="I57" s="154"/>
    </row>
    <row r="58" spans="1:9" ht="18" customHeight="1" thickTop="1">
      <c r="A58" s="2257" t="s">
        <v>14</v>
      </c>
      <c r="B58" s="2257"/>
      <c r="C58" s="2257"/>
      <c r="D58" s="2257"/>
      <c r="E58" s="2257"/>
      <c r="F58" s="2257"/>
      <c r="G58" s="2257"/>
      <c r="H58" s="2257"/>
      <c r="I58" s="140"/>
    </row>
    <row r="59" spans="1:9" ht="27.95" customHeight="1">
      <c r="A59" s="1078" t="s">
        <v>15</v>
      </c>
      <c r="B59" s="1078"/>
      <c r="C59" s="1078"/>
      <c r="D59" s="1078"/>
      <c r="E59" s="1078"/>
      <c r="F59" s="1078"/>
      <c r="G59" s="1078"/>
      <c r="H59" s="1078"/>
      <c r="I59" s="140"/>
    </row>
    <row r="60" spans="1:9" s="154" customFormat="1" ht="54" customHeight="1">
      <c r="A60" s="140"/>
      <c r="B60" s="147"/>
      <c r="C60" s="147"/>
      <c r="D60" s="147"/>
      <c r="E60" s="147"/>
      <c r="F60" s="147"/>
      <c r="G60" s="147"/>
      <c r="H60" s="147"/>
      <c r="I60" s="216"/>
    </row>
    <row r="61" spans="1:9" s="154" customFormat="1">
      <c r="A61" s="140"/>
      <c r="B61" s="147"/>
      <c r="C61" s="147"/>
      <c r="D61" s="147"/>
      <c r="E61" s="147"/>
      <c r="F61" s="147"/>
      <c r="G61" s="147"/>
      <c r="H61" s="147"/>
      <c r="I61" s="216"/>
    </row>
    <row r="62" spans="1:9" s="154" customFormat="1" ht="14.45" customHeight="1">
      <c r="A62" s="140"/>
      <c r="B62" s="147"/>
      <c r="C62" s="147"/>
      <c r="D62" s="147"/>
      <c r="E62" s="147"/>
      <c r="F62" s="147"/>
      <c r="G62" s="147"/>
      <c r="H62" s="147"/>
      <c r="I62" s="216"/>
    </row>
    <row r="63" spans="1:9" s="154" customFormat="1" ht="15.75" customHeight="1">
      <c r="A63" s="140"/>
      <c r="B63" s="147"/>
      <c r="C63" s="147"/>
      <c r="D63" s="147"/>
      <c r="E63" s="147"/>
      <c r="F63" s="147"/>
      <c r="G63" s="147"/>
      <c r="H63" s="147"/>
      <c r="I63" s="216"/>
    </row>
    <row r="64" spans="1:9" s="154" customFormat="1" ht="9.75" customHeight="1">
      <c r="A64" s="140"/>
      <c r="B64" s="147"/>
      <c r="C64" s="147"/>
      <c r="D64" s="147"/>
      <c r="E64" s="147"/>
      <c r="F64" s="147"/>
      <c r="G64" s="147"/>
      <c r="H64" s="147"/>
      <c r="I64" s="216"/>
    </row>
    <row r="65" spans="1:9" s="154" customFormat="1" ht="18.75" customHeight="1">
      <c r="A65" s="140"/>
      <c r="B65" s="147"/>
      <c r="C65" s="147"/>
      <c r="D65" s="147"/>
      <c r="E65" s="147"/>
      <c r="F65" s="147"/>
      <c r="G65" s="147"/>
      <c r="H65" s="147"/>
      <c r="I65" s="216"/>
    </row>
    <row r="66" spans="1:9" s="154" customFormat="1" ht="30" customHeight="1">
      <c r="A66" s="140"/>
      <c r="B66" s="147"/>
      <c r="C66" s="147"/>
      <c r="D66" s="147"/>
      <c r="E66" s="147"/>
      <c r="F66" s="147"/>
      <c r="G66" s="147"/>
      <c r="H66" s="147"/>
      <c r="I66" s="216"/>
    </row>
    <row r="67" spans="1:9" s="154" customFormat="1" ht="33" customHeight="1">
      <c r="A67" s="140"/>
      <c r="B67" s="147"/>
      <c r="C67" s="147"/>
      <c r="D67" s="147"/>
      <c r="E67" s="147"/>
      <c r="F67" s="147"/>
      <c r="G67" s="147"/>
      <c r="H67" s="147"/>
      <c r="I67" s="216"/>
    </row>
    <row r="68" spans="1:9" s="154" customFormat="1">
      <c r="A68" s="140"/>
      <c r="B68" s="147"/>
      <c r="C68" s="147"/>
      <c r="D68" s="147"/>
      <c r="E68" s="147"/>
      <c r="F68" s="147"/>
      <c r="G68" s="147"/>
      <c r="H68" s="147"/>
      <c r="I68" s="216"/>
    </row>
    <row r="69" spans="1:9" ht="10.5" customHeight="1">
      <c r="I69" s="216"/>
    </row>
    <row r="70" spans="1:9" ht="9" customHeight="1">
      <c r="I70" s="216"/>
    </row>
    <row r="71" spans="1:9" ht="0.6" customHeight="1">
      <c r="I71" s="216"/>
    </row>
    <row r="72" spans="1:9" ht="6" customHeight="1">
      <c r="I72" s="216"/>
    </row>
    <row r="73" spans="1:9" ht="13.5" customHeight="1">
      <c r="I73" s="216"/>
    </row>
    <row r="74" spans="1:9">
      <c r="I74" s="216"/>
    </row>
    <row r="75" spans="1:9">
      <c r="I75" s="216"/>
    </row>
    <row r="76" spans="1:9" ht="12.75" customHeight="1">
      <c r="I76" s="216"/>
    </row>
    <row r="77" spans="1:9">
      <c r="I77" s="216"/>
    </row>
    <row r="78" spans="1:9">
      <c r="I78" s="216"/>
    </row>
    <row r="79" spans="1:9">
      <c r="I79" s="216"/>
    </row>
    <row r="80" spans="1:9">
      <c r="I80" s="216"/>
    </row>
    <row r="81" spans="9:9">
      <c r="I81" s="216"/>
    </row>
    <row r="82" spans="9:9">
      <c r="I82" s="216"/>
    </row>
    <row r="83" spans="9:9">
      <c r="I83" s="216"/>
    </row>
    <row r="84" spans="9:9">
      <c r="I84" s="216"/>
    </row>
    <row r="85" spans="9:9">
      <c r="I85" s="216"/>
    </row>
    <row r="86" spans="9:9">
      <c r="I86" s="216"/>
    </row>
    <row r="87" spans="9:9">
      <c r="I87" s="216"/>
    </row>
    <row r="88" spans="9:9">
      <c r="I88" s="216"/>
    </row>
    <row r="89" spans="9:9">
      <c r="I89" s="216"/>
    </row>
    <row r="90" spans="9:9">
      <c r="I90" s="216"/>
    </row>
    <row r="91" spans="9:9">
      <c r="I91" s="216"/>
    </row>
    <row r="92" spans="9:9">
      <c r="I92" s="216"/>
    </row>
    <row r="93" spans="9:9">
      <c r="I93" s="216"/>
    </row>
    <row r="94" spans="9:9">
      <c r="I94" s="216"/>
    </row>
    <row r="95" spans="9:9">
      <c r="I95" s="216"/>
    </row>
    <row r="96" spans="9:9">
      <c r="I96" s="216"/>
    </row>
    <row r="97" spans="2:9">
      <c r="B97" s="217"/>
      <c r="C97" s="217"/>
      <c r="D97" s="217"/>
      <c r="E97" s="217"/>
      <c r="F97" s="217"/>
      <c r="G97" s="217"/>
      <c r="H97" s="217"/>
      <c r="I97" s="216"/>
    </row>
    <row r="98" spans="2:9">
      <c r="B98" s="217"/>
      <c r="C98" s="217"/>
      <c r="D98" s="217"/>
      <c r="E98" s="217"/>
      <c r="F98" s="217"/>
      <c r="G98" s="217"/>
      <c r="H98" s="217"/>
      <c r="I98" s="216"/>
    </row>
    <row r="99" spans="2:9">
      <c r="B99" s="217"/>
      <c r="C99" s="217"/>
      <c r="D99" s="217"/>
      <c r="E99" s="217"/>
      <c r="F99" s="217"/>
      <c r="G99" s="217"/>
      <c r="H99" s="217"/>
      <c r="I99" s="216"/>
    </row>
    <row r="100" spans="2:9">
      <c r="B100" s="217"/>
      <c r="C100" s="217"/>
      <c r="D100" s="217"/>
      <c r="E100" s="217"/>
      <c r="F100" s="217"/>
      <c r="G100" s="217"/>
      <c r="H100" s="217"/>
      <c r="I100" s="216"/>
    </row>
    <row r="101" spans="2:9">
      <c r="B101" s="216"/>
      <c r="C101" s="216"/>
      <c r="D101" s="216"/>
      <c r="E101" s="216"/>
      <c r="F101" s="216"/>
      <c r="G101" s="216"/>
      <c r="H101" s="216"/>
      <c r="I101" s="216"/>
    </row>
    <row r="102" spans="2:9">
      <c r="B102" s="216"/>
      <c r="C102" s="216"/>
      <c r="D102" s="216"/>
      <c r="E102" s="216"/>
      <c r="F102" s="216"/>
      <c r="G102" s="216"/>
      <c r="H102" s="216"/>
      <c r="I102" s="216"/>
    </row>
    <row r="103" spans="2:9">
      <c r="B103" s="216"/>
      <c r="C103" s="216"/>
      <c r="D103" s="216"/>
      <c r="E103" s="216"/>
      <c r="F103" s="216"/>
      <c r="G103" s="216"/>
      <c r="H103" s="216"/>
      <c r="I103" s="216"/>
    </row>
    <row r="104" spans="2:9">
      <c r="B104" s="216"/>
      <c r="C104" s="216"/>
      <c r="D104" s="216"/>
      <c r="E104" s="216"/>
      <c r="F104" s="216"/>
      <c r="G104" s="216"/>
      <c r="H104" s="216"/>
      <c r="I104" s="216"/>
    </row>
    <row r="105" spans="2:9">
      <c r="B105" s="216"/>
      <c r="C105" s="216"/>
      <c r="D105" s="216"/>
      <c r="E105" s="216"/>
      <c r="F105" s="216"/>
      <c r="G105" s="216"/>
      <c r="H105" s="216"/>
      <c r="I105" s="216"/>
    </row>
    <row r="106" spans="2:9">
      <c r="B106" s="216"/>
      <c r="C106" s="216"/>
      <c r="D106" s="216"/>
      <c r="E106" s="216"/>
      <c r="F106" s="216"/>
      <c r="G106" s="216"/>
      <c r="H106" s="216"/>
      <c r="I106" s="216"/>
    </row>
    <row r="107" spans="2:9">
      <c r="B107" s="216"/>
      <c r="C107" s="216"/>
      <c r="D107" s="216"/>
      <c r="E107" s="216"/>
      <c r="F107" s="216"/>
      <c r="G107" s="216"/>
      <c r="H107" s="216"/>
      <c r="I107" s="216"/>
    </row>
    <row r="108" spans="2:9">
      <c r="B108" s="216"/>
      <c r="C108" s="216"/>
      <c r="D108" s="216"/>
      <c r="E108" s="216"/>
      <c r="F108" s="216"/>
      <c r="G108" s="216"/>
      <c r="H108" s="216"/>
      <c r="I108" s="216"/>
    </row>
    <row r="109" spans="2:9">
      <c r="B109" s="216"/>
      <c r="C109" s="216"/>
      <c r="D109" s="216"/>
      <c r="E109" s="216"/>
      <c r="F109" s="216"/>
      <c r="G109" s="216"/>
      <c r="H109" s="216"/>
      <c r="I109" s="216"/>
    </row>
    <row r="110" spans="2:9">
      <c r="B110" s="216"/>
      <c r="C110" s="216"/>
      <c r="D110" s="216"/>
      <c r="E110" s="216"/>
      <c r="F110" s="216"/>
      <c r="G110" s="216"/>
      <c r="H110" s="216"/>
      <c r="I110" s="216"/>
    </row>
    <row r="111" spans="2:9">
      <c r="I111" s="216"/>
    </row>
    <row r="112" spans="2:9">
      <c r="I112" s="216"/>
    </row>
    <row r="113" spans="9:9">
      <c r="I113" s="216"/>
    </row>
  </sheetData>
  <sheetProtection algorithmName="SHA-512" hashValue="i+PEFEbANOIzgOHaRzKCxiXiAXvtFp5OMBmb6A+LKqPzMR1hv66BbU3PA9MyMDzqkTtditJZXJrdTGJh8RbbOQ==" saltValue="8q55Za2EEFMF9bi3c0KdsA==" spinCount="100000" sheet="1" formatCells="0" formatColumns="0" formatRows="0"/>
  <mergeCells count="64">
    <mergeCell ref="A59:H59"/>
    <mergeCell ref="A56:B56"/>
    <mergeCell ref="C52:D52"/>
    <mergeCell ref="C55:D55"/>
    <mergeCell ref="C56:D56"/>
    <mergeCell ref="E52:F52"/>
    <mergeCell ref="E54:F54"/>
    <mergeCell ref="E55:F55"/>
    <mergeCell ref="E56:F56"/>
    <mergeCell ref="C54:D54"/>
    <mergeCell ref="G52:H52"/>
    <mergeCell ref="G54:H54"/>
    <mergeCell ref="G55:H55"/>
    <mergeCell ref="G56:H56"/>
    <mergeCell ref="A52:B52"/>
    <mergeCell ref="E46:F46"/>
    <mergeCell ref="A57:H57"/>
    <mergeCell ref="A58:H58"/>
    <mergeCell ref="A50:H50"/>
    <mergeCell ref="A54:B54"/>
    <mergeCell ref="A55:B55"/>
    <mergeCell ref="A51:H51"/>
    <mergeCell ref="E47:F47"/>
    <mergeCell ref="A21:C21"/>
    <mergeCell ref="A22:C22"/>
    <mergeCell ref="E44:F44"/>
    <mergeCell ref="E45:F45"/>
    <mergeCell ref="A25:H25"/>
    <mergeCell ref="H42:H43"/>
    <mergeCell ref="A23:C23"/>
    <mergeCell ref="A24:C24"/>
    <mergeCell ref="A26:C26"/>
    <mergeCell ref="A27:C27"/>
    <mergeCell ref="A28:C28"/>
    <mergeCell ref="A29:C29"/>
    <mergeCell ref="E35:H36"/>
    <mergeCell ref="E42:F43"/>
    <mergeCell ref="E31:H31"/>
    <mergeCell ref="E37:H38"/>
    <mergeCell ref="F6:G6"/>
    <mergeCell ref="A20:C20"/>
    <mergeCell ref="A15:C15"/>
    <mergeCell ref="A16:C16"/>
    <mergeCell ref="A17:C17"/>
    <mergeCell ref="A19:C19"/>
    <mergeCell ref="D11:E11"/>
    <mergeCell ref="A18:H18"/>
    <mergeCell ref="D8:E8"/>
    <mergeCell ref="C3:H3"/>
    <mergeCell ref="A11:C11"/>
    <mergeCell ref="A12:C12"/>
    <mergeCell ref="A13:C13"/>
    <mergeCell ref="A14:C14"/>
    <mergeCell ref="A1:B5"/>
    <mergeCell ref="C4:F4"/>
    <mergeCell ref="G4:H4"/>
    <mergeCell ref="C5:H5"/>
    <mergeCell ref="B9:E9"/>
    <mergeCell ref="B6:E6"/>
    <mergeCell ref="D7:E7"/>
    <mergeCell ref="A10:E10"/>
    <mergeCell ref="C1:H1"/>
    <mergeCell ref="C2:H2"/>
    <mergeCell ref="F8:G8"/>
  </mergeCells>
  <dataValidations count="1">
    <dataValidation type="list" allowBlank="1" showInputMessage="1" showErrorMessage="1" sqref="E37">
      <formula1>$I$37:$I$38</formula1>
    </dataValidation>
  </dataValidations>
  <printOptions horizontalCentered="1"/>
  <pageMargins left="0.59055118110236227" right="0.19685039370078741" top="0" bottom="0" header="0" footer="0.78740157480314965"/>
  <pageSetup orientation="portrait" copies="2" r:id="rId1"/>
  <headerFooter scaleWithDoc="0">
    <oddHeader xml:space="preserve">&amp;L&amp;"Eurostile Extended,Regular Negrita"&amp;16
</oddHeader>
    <oddFooter>&amp;L&amp;6Calle 26 No. 57-41 Torre 8 Pisos 7-8 CEMSA - CP: 1113111            
Pbx: 3779555  - Información: Línea 195     
www.umv.gov.co111311&amp;C&amp;6PRO-FM-008
Página 2 de 2</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firmas!$A$2:$A$26</xm:f>
          </x14:formula1>
          <xm:sqref>C55:D55</xm:sqref>
        </x14:dataValidation>
        <x14:dataValidation type="list" allowBlank="1" showInputMessage="1" showErrorMessage="1">
          <x14:formula1>
            <xm:f>firmas!$A$28:$A$31</xm:f>
          </x14:formula1>
          <xm:sqref>E55:F55</xm:sqref>
        </x14:dataValidation>
        <x14:dataValidation type="list" allowBlank="1" showInputMessage="1" showErrorMessage="1">
          <x14:formula1>
            <xm:f>firmas!$A$33:$A$35</xm:f>
          </x14:formula1>
          <xm:sqref>G55:H55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topLeftCell="A25" workbookViewId="0">
      <selection activeCell="B29" sqref="B29"/>
    </sheetView>
  </sheetViews>
  <sheetFormatPr baseColWidth="10" defaultRowHeight="12.75"/>
  <cols>
    <col min="1" max="2" width="21.7109375" style="219" customWidth="1"/>
    <col min="3" max="3" width="22.7109375" style="219" customWidth="1"/>
    <col min="4" max="16384" width="11.42578125" style="219"/>
  </cols>
  <sheetData>
    <row r="1" spans="1:3">
      <c r="A1" s="220" t="s">
        <v>397</v>
      </c>
      <c r="B1" s="220" t="s">
        <v>398</v>
      </c>
      <c r="C1" s="220" t="s">
        <v>399</v>
      </c>
    </row>
    <row r="2" spans="1:3" ht="39.950000000000003" customHeight="1">
      <c r="A2" s="221" t="s">
        <v>379</v>
      </c>
      <c r="B2" s="791" t="s">
        <v>88</v>
      </c>
      <c r="C2" s="222">
        <v>2</v>
      </c>
    </row>
    <row r="3" spans="1:3" ht="39.950000000000003" customHeight="1">
      <c r="A3" s="221" t="s">
        <v>380</v>
      </c>
      <c r="B3" s="791" t="s">
        <v>88</v>
      </c>
      <c r="C3" s="222">
        <v>3</v>
      </c>
    </row>
    <row r="4" spans="1:3" ht="39.950000000000003" customHeight="1">
      <c r="A4" s="221" t="s">
        <v>381</v>
      </c>
      <c r="B4" s="791" t="s">
        <v>88</v>
      </c>
      <c r="C4" s="222">
        <v>7</v>
      </c>
    </row>
    <row r="5" spans="1:3" ht="39.950000000000003" customHeight="1">
      <c r="A5" s="221" t="s">
        <v>382</v>
      </c>
      <c r="B5" s="791" t="s">
        <v>88</v>
      </c>
      <c r="C5" s="223"/>
    </row>
    <row r="6" spans="1:3" ht="39.950000000000003" customHeight="1">
      <c r="A6" s="221" t="s">
        <v>383</v>
      </c>
      <c r="B6" s="791" t="s">
        <v>88</v>
      </c>
      <c r="C6" s="222">
        <v>6</v>
      </c>
    </row>
    <row r="7" spans="1:3" ht="39.950000000000003" customHeight="1">
      <c r="A7" s="221" t="s">
        <v>384</v>
      </c>
      <c r="B7" s="791" t="s">
        <v>88</v>
      </c>
      <c r="C7" s="222">
        <v>4</v>
      </c>
    </row>
    <row r="8" spans="1:3" ht="39.950000000000003" customHeight="1">
      <c r="A8" s="221" t="s">
        <v>400</v>
      </c>
      <c r="B8" s="791" t="s">
        <v>88</v>
      </c>
      <c r="C8" s="222">
        <v>8</v>
      </c>
    </row>
    <row r="9" spans="1:3" ht="39.950000000000003" customHeight="1">
      <c r="A9" s="221" t="s">
        <v>387</v>
      </c>
      <c r="B9" s="791" t="s">
        <v>88</v>
      </c>
      <c r="C9" s="224"/>
    </row>
    <row r="10" spans="1:3" ht="39.950000000000003" customHeight="1">
      <c r="A10" s="221" t="s">
        <v>389</v>
      </c>
      <c r="B10" s="791" t="s">
        <v>88</v>
      </c>
      <c r="C10" s="222">
        <v>9</v>
      </c>
    </row>
    <row r="11" spans="1:3" ht="39.950000000000003" customHeight="1">
      <c r="A11" s="221" t="s">
        <v>391</v>
      </c>
      <c r="B11" s="791" t="s">
        <v>88</v>
      </c>
      <c r="C11" s="224"/>
    </row>
    <row r="12" spans="1:3" ht="39.950000000000003" customHeight="1">
      <c r="A12" s="221" t="s">
        <v>388</v>
      </c>
      <c r="B12" s="791" t="s">
        <v>411</v>
      </c>
      <c r="C12" s="222">
        <v>1</v>
      </c>
    </row>
    <row r="13" spans="1:3" ht="39.950000000000003" customHeight="1">
      <c r="A13" s="221"/>
      <c r="B13" s="791"/>
      <c r="C13" s="222"/>
    </row>
    <row r="14" spans="1:3" ht="39.950000000000003" customHeight="1">
      <c r="A14" s="225" t="s">
        <v>376</v>
      </c>
      <c r="B14" s="791" t="s">
        <v>401</v>
      </c>
      <c r="C14" s="226"/>
    </row>
    <row r="15" spans="1:3" ht="39.950000000000003" customHeight="1">
      <c r="A15" s="225" t="s">
        <v>377</v>
      </c>
      <c r="B15" s="791" t="s">
        <v>401</v>
      </c>
      <c r="C15" s="222"/>
    </row>
    <row r="16" spans="1:3" ht="39.950000000000003" customHeight="1">
      <c r="A16" s="225" t="s">
        <v>378</v>
      </c>
      <c r="B16" s="791" t="s">
        <v>401</v>
      </c>
      <c r="C16" s="222"/>
    </row>
    <row r="17" spans="1:3" ht="39.950000000000003" customHeight="1">
      <c r="A17" s="221" t="s">
        <v>402</v>
      </c>
      <c r="B17" s="791" t="s">
        <v>401</v>
      </c>
      <c r="C17" s="224"/>
    </row>
    <row r="18" spans="1:3" ht="39.950000000000003" customHeight="1">
      <c r="A18" s="225" t="s">
        <v>385</v>
      </c>
      <c r="B18" s="791" t="s">
        <v>401</v>
      </c>
      <c r="C18" s="222"/>
    </row>
    <row r="19" spans="1:3" ht="39.950000000000003" customHeight="1">
      <c r="A19" s="225" t="s">
        <v>403</v>
      </c>
      <c r="B19" s="791" t="s">
        <v>401</v>
      </c>
      <c r="C19" s="222"/>
    </row>
    <row r="20" spans="1:3" ht="39.950000000000003" customHeight="1">
      <c r="A20" s="225" t="s">
        <v>404</v>
      </c>
      <c r="B20" s="791" t="s">
        <v>401</v>
      </c>
      <c r="C20" s="222"/>
    </row>
    <row r="21" spans="1:3" ht="39.950000000000003" customHeight="1">
      <c r="A21" s="225" t="s">
        <v>405</v>
      </c>
      <c r="B21" s="791" t="s">
        <v>401</v>
      </c>
      <c r="C21" s="222"/>
    </row>
    <row r="22" spans="1:3" ht="39.950000000000003" customHeight="1">
      <c r="A22" s="221" t="s">
        <v>406</v>
      </c>
      <c r="B22" s="791" t="s">
        <v>401</v>
      </c>
      <c r="C22" s="224"/>
    </row>
    <row r="23" spans="1:3" ht="39.950000000000003" customHeight="1">
      <c r="A23" s="221" t="s">
        <v>407</v>
      </c>
      <c r="B23" s="791" t="s">
        <v>401</v>
      </c>
      <c r="C23" s="224"/>
    </row>
    <row r="24" spans="1:3" ht="39.950000000000003" customHeight="1">
      <c r="A24" s="221" t="s">
        <v>390</v>
      </c>
      <c r="B24" s="791" t="s">
        <v>401</v>
      </c>
      <c r="C24" s="224"/>
    </row>
    <row r="25" spans="1:3" ht="39.950000000000003" customHeight="1">
      <c r="A25" s="225" t="s">
        <v>408</v>
      </c>
      <c r="B25" s="791" t="s">
        <v>401</v>
      </c>
      <c r="C25" s="222"/>
    </row>
    <row r="26" spans="1:3" ht="39.950000000000003" customHeight="1">
      <c r="A26" s="229" t="s">
        <v>410</v>
      </c>
      <c r="B26" s="230"/>
      <c r="C26" s="222"/>
    </row>
    <row r="27" spans="1:3" ht="39.950000000000003" customHeight="1">
      <c r="A27" s="787"/>
      <c r="B27" s="788"/>
      <c r="C27" s="788" t="s">
        <v>409</v>
      </c>
    </row>
    <row r="28" spans="1:3" ht="39.950000000000003" customHeight="1">
      <c r="A28" s="221" t="s">
        <v>388</v>
      </c>
      <c r="B28" s="791" t="s">
        <v>555</v>
      </c>
      <c r="C28" s="222">
        <v>1</v>
      </c>
    </row>
    <row r="29" spans="1:3" ht="39.950000000000003" customHeight="1">
      <c r="A29" s="221" t="s">
        <v>547</v>
      </c>
      <c r="B29" s="792" t="s">
        <v>545</v>
      </c>
      <c r="C29" s="224"/>
    </row>
    <row r="30" spans="1:3" ht="39.950000000000003" customHeight="1">
      <c r="A30" s="813" t="s">
        <v>410</v>
      </c>
      <c r="B30" s="792"/>
      <c r="C30" s="222">
        <v>1</v>
      </c>
    </row>
    <row r="31" spans="1:3" ht="39.950000000000003" customHeight="1">
      <c r="A31" s="229" t="s">
        <v>410</v>
      </c>
      <c r="B31" s="230" t="s">
        <v>410</v>
      </c>
      <c r="C31" s="222"/>
    </row>
    <row r="32" spans="1:3" ht="39.950000000000003" customHeight="1">
      <c r="A32" s="789"/>
      <c r="B32" s="790"/>
      <c r="C32" s="790" t="s">
        <v>22</v>
      </c>
    </row>
    <row r="33" spans="1:3" ht="39.950000000000003" customHeight="1">
      <c r="A33" s="221" t="s">
        <v>547</v>
      </c>
      <c r="B33" s="792" t="s">
        <v>545</v>
      </c>
      <c r="C33" s="224"/>
    </row>
    <row r="34" spans="1:3" ht="39.950000000000003" customHeight="1">
      <c r="A34" s="221" t="s">
        <v>553</v>
      </c>
      <c r="B34" s="791" t="s">
        <v>554</v>
      </c>
      <c r="C34" s="224"/>
    </row>
    <row r="35" spans="1:3" ht="39.950000000000003" customHeight="1">
      <c r="A35" s="227" t="s">
        <v>410</v>
      </c>
      <c r="B35" s="228" t="s">
        <v>410</v>
      </c>
      <c r="C35" s="224"/>
    </row>
  </sheetData>
  <pageMargins left="0.7" right="0.7" top="0.75" bottom="0.75" header="0.3" footer="0.3"/>
  <pageSetup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
  <sheetViews>
    <sheetView workbookViewId="0">
      <selection activeCell="F28" sqref="C28:H28"/>
    </sheetView>
  </sheetViews>
  <sheetFormatPr baseColWidth="10" defaultRowHeight="15"/>
  <cols>
    <col min="1" max="10" width="14.140625" customWidth="1"/>
  </cols>
  <sheetData>
    <row r="1" spans="1:24" ht="47.25">
      <c r="A1" s="221" t="s">
        <v>379</v>
      </c>
      <c r="B1" s="221" t="s">
        <v>380</v>
      </c>
      <c r="C1" s="221" t="s">
        <v>381</v>
      </c>
      <c r="D1" s="221" t="s">
        <v>382</v>
      </c>
      <c r="E1" s="221" t="s">
        <v>383</v>
      </c>
      <c r="F1" s="221" t="s">
        <v>384</v>
      </c>
      <c r="G1" s="221" t="s">
        <v>386</v>
      </c>
      <c r="H1" s="221" t="s">
        <v>387</v>
      </c>
      <c r="I1" s="221" t="s">
        <v>389</v>
      </c>
      <c r="J1" s="221" t="s">
        <v>391</v>
      </c>
      <c r="K1" s="221" t="s">
        <v>388</v>
      </c>
      <c r="L1" s="221" t="s">
        <v>400</v>
      </c>
      <c r="M1" s="225" t="s">
        <v>376</v>
      </c>
      <c r="N1" s="225" t="s">
        <v>377</v>
      </c>
      <c r="O1" s="225" t="s">
        <v>378</v>
      </c>
      <c r="P1" s="221" t="s">
        <v>402</v>
      </c>
      <c r="Q1" s="225" t="s">
        <v>385</v>
      </c>
      <c r="R1" s="225" t="s">
        <v>403</v>
      </c>
      <c r="S1" s="225" t="s">
        <v>404</v>
      </c>
      <c r="T1" s="225" t="s">
        <v>405</v>
      </c>
      <c r="U1" s="221" t="s">
        <v>406</v>
      </c>
      <c r="V1" s="221" t="s">
        <v>407</v>
      </c>
      <c r="W1" s="221" t="s">
        <v>390</v>
      </c>
      <c r="X1" s="225" t="s">
        <v>408</v>
      </c>
    </row>
    <row r="2" spans="1:24">
      <c r="L2" t="s">
        <v>401</v>
      </c>
      <c r="M2" t="s">
        <v>401</v>
      </c>
      <c r="N2" t="s">
        <v>401</v>
      </c>
      <c r="O2" t="s">
        <v>401</v>
      </c>
      <c r="P2" t="s">
        <v>401</v>
      </c>
      <c r="Q2" t="s">
        <v>401</v>
      </c>
      <c r="R2" t="s">
        <v>401</v>
      </c>
      <c r="S2" t="s">
        <v>401</v>
      </c>
      <c r="T2" t="s">
        <v>401</v>
      </c>
      <c r="U2" t="s">
        <v>401</v>
      </c>
      <c r="V2" t="s">
        <v>401</v>
      </c>
      <c r="W2" t="s">
        <v>401</v>
      </c>
      <c r="X2" t="s">
        <v>401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T50"/>
  <sheetViews>
    <sheetView showGridLines="0" view="pageBreakPreview" topLeftCell="A22" zoomScaleNormal="115" zoomScaleSheetLayoutView="100" workbookViewId="0">
      <selection activeCell="F48" sqref="C48:G48"/>
    </sheetView>
  </sheetViews>
  <sheetFormatPr baseColWidth="10" defaultRowHeight="12.75"/>
  <cols>
    <col min="1" max="5" width="2.7109375" style="109" customWidth="1"/>
    <col min="6" max="6" width="2.42578125" style="109" customWidth="1"/>
    <col min="7" max="17" width="2.7109375" style="109" customWidth="1"/>
    <col min="18" max="18" width="1.5703125" style="109" customWidth="1"/>
    <col min="19" max="20" width="2.7109375" style="109" customWidth="1"/>
    <col min="21" max="22" width="2" style="109" customWidth="1"/>
    <col min="23" max="23" width="1.5703125" style="109" customWidth="1"/>
    <col min="24" max="24" width="2" style="109" customWidth="1"/>
    <col min="25" max="27" width="2.7109375" style="109" customWidth="1"/>
    <col min="28" max="28" width="2.5703125" style="109" customWidth="1"/>
    <col min="29" max="29" width="3.42578125" style="109" customWidth="1"/>
    <col min="30" max="30" width="3.7109375" style="109" customWidth="1"/>
    <col min="31" max="31" width="3.140625" style="109" customWidth="1"/>
    <col min="32" max="32" width="4" style="109" customWidth="1"/>
    <col min="33" max="33" width="2.7109375" style="109" customWidth="1"/>
    <col min="34" max="34" width="3.42578125" style="109" customWidth="1"/>
    <col min="35" max="35" width="2.28515625" style="109" customWidth="1"/>
    <col min="36" max="36" width="2.7109375" style="109" customWidth="1"/>
    <col min="37" max="37" width="11.42578125" style="544"/>
    <col min="38" max="38" width="11.5703125" style="544" customWidth="1"/>
    <col min="39" max="39" width="12.5703125" style="544" customWidth="1"/>
    <col min="40" max="40" width="11.5703125" style="544" customWidth="1"/>
    <col min="41" max="46" width="11.42578125" style="544"/>
    <col min="47" max="256" width="11.42578125" style="109"/>
    <col min="257" max="261" width="2.7109375" style="109" customWidth="1"/>
    <col min="262" max="262" width="3.85546875" style="109" customWidth="1"/>
    <col min="263" max="292" width="2.7109375" style="109" customWidth="1"/>
    <col min="293" max="293" width="11.42578125" style="109"/>
    <col min="294" max="294" width="11.5703125" style="109" customWidth="1"/>
    <col min="295" max="295" width="12.5703125" style="109" customWidth="1"/>
    <col min="296" max="296" width="11.5703125" style="109" customWidth="1"/>
    <col min="297" max="512" width="11.42578125" style="109"/>
    <col min="513" max="517" width="2.7109375" style="109" customWidth="1"/>
    <col min="518" max="518" width="3.85546875" style="109" customWidth="1"/>
    <col min="519" max="548" width="2.7109375" style="109" customWidth="1"/>
    <col min="549" max="549" width="11.42578125" style="109"/>
    <col min="550" max="550" width="11.5703125" style="109" customWidth="1"/>
    <col min="551" max="551" width="12.5703125" style="109" customWidth="1"/>
    <col min="552" max="552" width="11.5703125" style="109" customWidth="1"/>
    <col min="553" max="768" width="11.42578125" style="109"/>
    <col min="769" max="773" width="2.7109375" style="109" customWidth="1"/>
    <col min="774" max="774" width="3.85546875" style="109" customWidth="1"/>
    <col min="775" max="804" width="2.7109375" style="109" customWidth="1"/>
    <col min="805" max="805" width="11.42578125" style="109"/>
    <col min="806" max="806" width="11.5703125" style="109" customWidth="1"/>
    <col min="807" max="807" width="12.5703125" style="109" customWidth="1"/>
    <col min="808" max="808" width="11.5703125" style="109" customWidth="1"/>
    <col min="809" max="1024" width="11.42578125" style="109"/>
    <col min="1025" max="1029" width="2.7109375" style="109" customWidth="1"/>
    <col min="1030" max="1030" width="3.85546875" style="109" customWidth="1"/>
    <col min="1031" max="1060" width="2.7109375" style="109" customWidth="1"/>
    <col min="1061" max="1061" width="11.42578125" style="109"/>
    <col min="1062" max="1062" width="11.5703125" style="109" customWidth="1"/>
    <col min="1063" max="1063" width="12.5703125" style="109" customWidth="1"/>
    <col min="1064" max="1064" width="11.5703125" style="109" customWidth="1"/>
    <col min="1065" max="1280" width="11.42578125" style="109"/>
    <col min="1281" max="1285" width="2.7109375" style="109" customWidth="1"/>
    <col min="1286" max="1286" width="3.85546875" style="109" customWidth="1"/>
    <col min="1287" max="1316" width="2.7109375" style="109" customWidth="1"/>
    <col min="1317" max="1317" width="11.42578125" style="109"/>
    <col min="1318" max="1318" width="11.5703125" style="109" customWidth="1"/>
    <col min="1319" max="1319" width="12.5703125" style="109" customWidth="1"/>
    <col min="1320" max="1320" width="11.5703125" style="109" customWidth="1"/>
    <col min="1321" max="1536" width="11.42578125" style="109"/>
    <col min="1537" max="1541" width="2.7109375" style="109" customWidth="1"/>
    <col min="1542" max="1542" width="3.85546875" style="109" customWidth="1"/>
    <col min="1543" max="1572" width="2.7109375" style="109" customWidth="1"/>
    <col min="1573" max="1573" width="11.42578125" style="109"/>
    <col min="1574" max="1574" width="11.5703125" style="109" customWidth="1"/>
    <col min="1575" max="1575" width="12.5703125" style="109" customWidth="1"/>
    <col min="1576" max="1576" width="11.5703125" style="109" customWidth="1"/>
    <col min="1577" max="1792" width="11.42578125" style="109"/>
    <col min="1793" max="1797" width="2.7109375" style="109" customWidth="1"/>
    <col min="1798" max="1798" width="3.85546875" style="109" customWidth="1"/>
    <col min="1799" max="1828" width="2.7109375" style="109" customWidth="1"/>
    <col min="1829" max="1829" width="11.42578125" style="109"/>
    <col min="1830" max="1830" width="11.5703125" style="109" customWidth="1"/>
    <col min="1831" max="1831" width="12.5703125" style="109" customWidth="1"/>
    <col min="1832" max="1832" width="11.5703125" style="109" customWidth="1"/>
    <col min="1833" max="2048" width="11.42578125" style="109"/>
    <col min="2049" max="2053" width="2.7109375" style="109" customWidth="1"/>
    <col min="2054" max="2054" width="3.85546875" style="109" customWidth="1"/>
    <col min="2055" max="2084" width="2.7109375" style="109" customWidth="1"/>
    <col min="2085" max="2085" width="11.42578125" style="109"/>
    <col min="2086" max="2086" width="11.5703125" style="109" customWidth="1"/>
    <col min="2087" max="2087" width="12.5703125" style="109" customWidth="1"/>
    <col min="2088" max="2088" width="11.5703125" style="109" customWidth="1"/>
    <col min="2089" max="2304" width="11.42578125" style="109"/>
    <col min="2305" max="2309" width="2.7109375" style="109" customWidth="1"/>
    <col min="2310" max="2310" width="3.85546875" style="109" customWidth="1"/>
    <col min="2311" max="2340" width="2.7109375" style="109" customWidth="1"/>
    <col min="2341" max="2341" width="11.42578125" style="109"/>
    <col min="2342" max="2342" width="11.5703125" style="109" customWidth="1"/>
    <col min="2343" max="2343" width="12.5703125" style="109" customWidth="1"/>
    <col min="2344" max="2344" width="11.5703125" style="109" customWidth="1"/>
    <col min="2345" max="2560" width="11.42578125" style="109"/>
    <col min="2561" max="2565" width="2.7109375" style="109" customWidth="1"/>
    <col min="2566" max="2566" width="3.85546875" style="109" customWidth="1"/>
    <col min="2567" max="2596" width="2.7109375" style="109" customWidth="1"/>
    <col min="2597" max="2597" width="11.42578125" style="109"/>
    <col min="2598" max="2598" width="11.5703125" style="109" customWidth="1"/>
    <col min="2599" max="2599" width="12.5703125" style="109" customWidth="1"/>
    <col min="2600" max="2600" width="11.5703125" style="109" customWidth="1"/>
    <col min="2601" max="2816" width="11.42578125" style="109"/>
    <col min="2817" max="2821" width="2.7109375" style="109" customWidth="1"/>
    <col min="2822" max="2822" width="3.85546875" style="109" customWidth="1"/>
    <col min="2823" max="2852" width="2.7109375" style="109" customWidth="1"/>
    <col min="2853" max="2853" width="11.42578125" style="109"/>
    <col min="2854" max="2854" width="11.5703125" style="109" customWidth="1"/>
    <col min="2855" max="2855" width="12.5703125" style="109" customWidth="1"/>
    <col min="2856" max="2856" width="11.5703125" style="109" customWidth="1"/>
    <col min="2857" max="3072" width="11.42578125" style="109"/>
    <col min="3073" max="3077" width="2.7109375" style="109" customWidth="1"/>
    <col min="3078" max="3078" width="3.85546875" style="109" customWidth="1"/>
    <col min="3079" max="3108" width="2.7109375" style="109" customWidth="1"/>
    <col min="3109" max="3109" width="11.42578125" style="109"/>
    <col min="3110" max="3110" width="11.5703125" style="109" customWidth="1"/>
    <col min="3111" max="3111" width="12.5703125" style="109" customWidth="1"/>
    <col min="3112" max="3112" width="11.5703125" style="109" customWidth="1"/>
    <col min="3113" max="3328" width="11.42578125" style="109"/>
    <col min="3329" max="3333" width="2.7109375" style="109" customWidth="1"/>
    <col min="3334" max="3334" width="3.85546875" style="109" customWidth="1"/>
    <col min="3335" max="3364" width="2.7109375" style="109" customWidth="1"/>
    <col min="3365" max="3365" width="11.42578125" style="109"/>
    <col min="3366" max="3366" width="11.5703125" style="109" customWidth="1"/>
    <col min="3367" max="3367" width="12.5703125" style="109" customWidth="1"/>
    <col min="3368" max="3368" width="11.5703125" style="109" customWidth="1"/>
    <col min="3369" max="3584" width="11.42578125" style="109"/>
    <col min="3585" max="3589" width="2.7109375" style="109" customWidth="1"/>
    <col min="3590" max="3590" width="3.85546875" style="109" customWidth="1"/>
    <col min="3591" max="3620" width="2.7109375" style="109" customWidth="1"/>
    <col min="3621" max="3621" width="11.42578125" style="109"/>
    <col min="3622" max="3622" width="11.5703125" style="109" customWidth="1"/>
    <col min="3623" max="3623" width="12.5703125" style="109" customWidth="1"/>
    <col min="3624" max="3624" width="11.5703125" style="109" customWidth="1"/>
    <col min="3625" max="3840" width="11.42578125" style="109"/>
    <col min="3841" max="3845" width="2.7109375" style="109" customWidth="1"/>
    <col min="3846" max="3846" width="3.85546875" style="109" customWidth="1"/>
    <col min="3847" max="3876" width="2.7109375" style="109" customWidth="1"/>
    <col min="3877" max="3877" width="11.42578125" style="109"/>
    <col min="3878" max="3878" width="11.5703125" style="109" customWidth="1"/>
    <col min="3879" max="3879" width="12.5703125" style="109" customWidth="1"/>
    <col min="3880" max="3880" width="11.5703125" style="109" customWidth="1"/>
    <col min="3881" max="4096" width="11.42578125" style="109"/>
    <col min="4097" max="4101" width="2.7109375" style="109" customWidth="1"/>
    <col min="4102" max="4102" width="3.85546875" style="109" customWidth="1"/>
    <col min="4103" max="4132" width="2.7109375" style="109" customWidth="1"/>
    <col min="4133" max="4133" width="11.42578125" style="109"/>
    <col min="4134" max="4134" width="11.5703125" style="109" customWidth="1"/>
    <col min="4135" max="4135" width="12.5703125" style="109" customWidth="1"/>
    <col min="4136" max="4136" width="11.5703125" style="109" customWidth="1"/>
    <col min="4137" max="4352" width="11.42578125" style="109"/>
    <col min="4353" max="4357" width="2.7109375" style="109" customWidth="1"/>
    <col min="4358" max="4358" width="3.85546875" style="109" customWidth="1"/>
    <col min="4359" max="4388" width="2.7109375" style="109" customWidth="1"/>
    <col min="4389" max="4389" width="11.42578125" style="109"/>
    <col min="4390" max="4390" width="11.5703125" style="109" customWidth="1"/>
    <col min="4391" max="4391" width="12.5703125" style="109" customWidth="1"/>
    <col min="4392" max="4392" width="11.5703125" style="109" customWidth="1"/>
    <col min="4393" max="4608" width="11.42578125" style="109"/>
    <col min="4609" max="4613" width="2.7109375" style="109" customWidth="1"/>
    <col min="4614" max="4614" width="3.85546875" style="109" customWidth="1"/>
    <col min="4615" max="4644" width="2.7109375" style="109" customWidth="1"/>
    <col min="4645" max="4645" width="11.42578125" style="109"/>
    <col min="4646" max="4646" width="11.5703125" style="109" customWidth="1"/>
    <col min="4647" max="4647" width="12.5703125" style="109" customWidth="1"/>
    <col min="4648" max="4648" width="11.5703125" style="109" customWidth="1"/>
    <col min="4649" max="4864" width="11.42578125" style="109"/>
    <col min="4865" max="4869" width="2.7109375" style="109" customWidth="1"/>
    <col min="4870" max="4870" width="3.85546875" style="109" customWidth="1"/>
    <col min="4871" max="4900" width="2.7109375" style="109" customWidth="1"/>
    <col min="4901" max="4901" width="11.42578125" style="109"/>
    <col min="4902" max="4902" width="11.5703125" style="109" customWidth="1"/>
    <col min="4903" max="4903" width="12.5703125" style="109" customWidth="1"/>
    <col min="4904" max="4904" width="11.5703125" style="109" customWidth="1"/>
    <col min="4905" max="5120" width="11.42578125" style="109"/>
    <col min="5121" max="5125" width="2.7109375" style="109" customWidth="1"/>
    <col min="5126" max="5126" width="3.85546875" style="109" customWidth="1"/>
    <col min="5127" max="5156" width="2.7109375" style="109" customWidth="1"/>
    <col min="5157" max="5157" width="11.42578125" style="109"/>
    <col min="5158" max="5158" width="11.5703125" style="109" customWidth="1"/>
    <col min="5159" max="5159" width="12.5703125" style="109" customWidth="1"/>
    <col min="5160" max="5160" width="11.5703125" style="109" customWidth="1"/>
    <col min="5161" max="5376" width="11.42578125" style="109"/>
    <col min="5377" max="5381" width="2.7109375" style="109" customWidth="1"/>
    <col min="5382" max="5382" width="3.85546875" style="109" customWidth="1"/>
    <col min="5383" max="5412" width="2.7109375" style="109" customWidth="1"/>
    <col min="5413" max="5413" width="11.42578125" style="109"/>
    <col min="5414" max="5414" width="11.5703125" style="109" customWidth="1"/>
    <col min="5415" max="5415" width="12.5703125" style="109" customWidth="1"/>
    <col min="5416" max="5416" width="11.5703125" style="109" customWidth="1"/>
    <col min="5417" max="5632" width="11.42578125" style="109"/>
    <col min="5633" max="5637" width="2.7109375" style="109" customWidth="1"/>
    <col min="5638" max="5638" width="3.85546875" style="109" customWidth="1"/>
    <col min="5639" max="5668" width="2.7109375" style="109" customWidth="1"/>
    <col min="5669" max="5669" width="11.42578125" style="109"/>
    <col min="5670" max="5670" width="11.5703125" style="109" customWidth="1"/>
    <col min="5671" max="5671" width="12.5703125" style="109" customWidth="1"/>
    <col min="5672" max="5672" width="11.5703125" style="109" customWidth="1"/>
    <col min="5673" max="5888" width="11.42578125" style="109"/>
    <col min="5889" max="5893" width="2.7109375" style="109" customWidth="1"/>
    <col min="5894" max="5894" width="3.85546875" style="109" customWidth="1"/>
    <col min="5895" max="5924" width="2.7109375" style="109" customWidth="1"/>
    <col min="5925" max="5925" width="11.42578125" style="109"/>
    <col min="5926" max="5926" width="11.5703125" style="109" customWidth="1"/>
    <col min="5927" max="5927" width="12.5703125" style="109" customWidth="1"/>
    <col min="5928" max="5928" width="11.5703125" style="109" customWidth="1"/>
    <col min="5929" max="6144" width="11.42578125" style="109"/>
    <col min="6145" max="6149" width="2.7109375" style="109" customWidth="1"/>
    <col min="6150" max="6150" width="3.85546875" style="109" customWidth="1"/>
    <col min="6151" max="6180" width="2.7109375" style="109" customWidth="1"/>
    <col min="6181" max="6181" width="11.42578125" style="109"/>
    <col min="6182" max="6182" width="11.5703125" style="109" customWidth="1"/>
    <col min="6183" max="6183" width="12.5703125" style="109" customWidth="1"/>
    <col min="6184" max="6184" width="11.5703125" style="109" customWidth="1"/>
    <col min="6185" max="6400" width="11.42578125" style="109"/>
    <col min="6401" max="6405" width="2.7109375" style="109" customWidth="1"/>
    <col min="6406" max="6406" width="3.85546875" style="109" customWidth="1"/>
    <col min="6407" max="6436" width="2.7109375" style="109" customWidth="1"/>
    <col min="6437" max="6437" width="11.42578125" style="109"/>
    <col min="6438" max="6438" width="11.5703125" style="109" customWidth="1"/>
    <col min="6439" max="6439" width="12.5703125" style="109" customWidth="1"/>
    <col min="6440" max="6440" width="11.5703125" style="109" customWidth="1"/>
    <col min="6441" max="6656" width="11.42578125" style="109"/>
    <col min="6657" max="6661" width="2.7109375" style="109" customWidth="1"/>
    <col min="6662" max="6662" width="3.85546875" style="109" customWidth="1"/>
    <col min="6663" max="6692" width="2.7109375" style="109" customWidth="1"/>
    <col min="6693" max="6693" width="11.42578125" style="109"/>
    <col min="6694" max="6694" width="11.5703125" style="109" customWidth="1"/>
    <col min="6695" max="6695" width="12.5703125" style="109" customWidth="1"/>
    <col min="6696" max="6696" width="11.5703125" style="109" customWidth="1"/>
    <col min="6697" max="6912" width="11.42578125" style="109"/>
    <col min="6913" max="6917" width="2.7109375" style="109" customWidth="1"/>
    <col min="6918" max="6918" width="3.85546875" style="109" customWidth="1"/>
    <col min="6919" max="6948" width="2.7109375" style="109" customWidth="1"/>
    <col min="6949" max="6949" width="11.42578125" style="109"/>
    <col min="6950" max="6950" width="11.5703125" style="109" customWidth="1"/>
    <col min="6951" max="6951" width="12.5703125" style="109" customWidth="1"/>
    <col min="6952" max="6952" width="11.5703125" style="109" customWidth="1"/>
    <col min="6953" max="7168" width="11.42578125" style="109"/>
    <col min="7169" max="7173" width="2.7109375" style="109" customWidth="1"/>
    <col min="7174" max="7174" width="3.85546875" style="109" customWidth="1"/>
    <col min="7175" max="7204" width="2.7109375" style="109" customWidth="1"/>
    <col min="7205" max="7205" width="11.42578125" style="109"/>
    <col min="7206" max="7206" width="11.5703125" style="109" customWidth="1"/>
    <col min="7207" max="7207" width="12.5703125" style="109" customWidth="1"/>
    <col min="7208" max="7208" width="11.5703125" style="109" customWidth="1"/>
    <col min="7209" max="7424" width="11.42578125" style="109"/>
    <col min="7425" max="7429" width="2.7109375" style="109" customWidth="1"/>
    <col min="7430" max="7430" width="3.85546875" style="109" customWidth="1"/>
    <col min="7431" max="7460" width="2.7109375" style="109" customWidth="1"/>
    <col min="7461" max="7461" width="11.42578125" style="109"/>
    <col min="7462" max="7462" width="11.5703125" style="109" customWidth="1"/>
    <col min="7463" max="7463" width="12.5703125" style="109" customWidth="1"/>
    <col min="7464" max="7464" width="11.5703125" style="109" customWidth="1"/>
    <col min="7465" max="7680" width="11.42578125" style="109"/>
    <col min="7681" max="7685" width="2.7109375" style="109" customWidth="1"/>
    <col min="7686" max="7686" width="3.85546875" style="109" customWidth="1"/>
    <col min="7687" max="7716" width="2.7109375" style="109" customWidth="1"/>
    <col min="7717" max="7717" width="11.42578125" style="109"/>
    <col min="7718" max="7718" width="11.5703125" style="109" customWidth="1"/>
    <col min="7719" max="7719" width="12.5703125" style="109" customWidth="1"/>
    <col min="7720" max="7720" width="11.5703125" style="109" customWidth="1"/>
    <col min="7721" max="7936" width="11.42578125" style="109"/>
    <col min="7937" max="7941" width="2.7109375" style="109" customWidth="1"/>
    <col min="7942" max="7942" width="3.85546875" style="109" customWidth="1"/>
    <col min="7943" max="7972" width="2.7109375" style="109" customWidth="1"/>
    <col min="7973" max="7973" width="11.42578125" style="109"/>
    <col min="7974" max="7974" width="11.5703125" style="109" customWidth="1"/>
    <col min="7975" max="7975" width="12.5703125" style="109" customWidth="1"/>
    <col min="7976" max="7976" width="11.5703125" style="109" customWidth="1"/>
    <col min="7977" max="8192" width="11.42578125" style="109"/>
    <col min="8193" max="8197" width="2.7109375" style="109" customWidth="1"/>
    <col min="8198" max="8198" width="3.85546875" style="109" customWidth="1"/>
    <col min="8199" max="8228" width="2.7109375" style="109" customWidth="1"/>
    <col min="8229" max="8229" width="11.42578125" style="109"/>
    <col min="8230" max="8230" width="11.5703125" style="109" customWidth="1"/>
    <col min="8231" max="8231" width="12.5703125" style="109" customWidth="1"/>
    <col min="8232" max="8232" width="11.5703125" style="109" customWidth="1"/>
    <col min="8233" max="8448" width="11.42578125" style="109"/>
    <col min="8449" max="8453" width="2.7109375" style="109" customWidth="1"/>
    <col min="8454" max="8454" width="3.85546875" style="109" customWidth="1"/>
    <col min="8455" max="8484" width="2.7109375" style="109" customWidth="1"/>
    <col min="8485" max="8485" width="11.42578125" style="109"/>
    <col min="8486" max="8486" width="11.5703125" style="109" customWidth="1"/>
    <col min="8487" max="8487" width="12.5703125" style="109" customWidth="1"/>
    <col min="8488" max="8488" width="11.5703125" style="109" customWidth="1"/>
    <col min="8489" max="8704" width="11.42578125" style="109"/>
    <col min="8705" max="8709" width="2.7109375" style="109" customWidth="1"/>
    <col min="8710" max="8710" width="3.85546875" style="109" customWidth="1"/>
    <col min="8711" max="8740" width="2.7109375" style="109" customWidth="1"/>
    <col min="8741" max="8741" width="11.42578125" style="109"/>
    <col min="8742" max="8742" width="11.5703125" style="109" customWidth="1"/>
    <col min="8743" max="8743" width="12.5703125" style="109" customWidth="1"/>
    <col min="8744" max="8744" width="11.5703125" style="109" customWidth="1"/>
    <col min="8745" max="8960" width="11.42578125" style="109"/>
    <col min="8961" max="8965" width="2.7109375" style="109" customWidth="1"/>
    <col min="8966" max="8966" width="3.85546875" style="109" customWidth="1"/>
    <col min="8967" max="8996" width="2.7109375" style="109" customWidth="1"/>
    <col min="8997" max="8997" width="11.42578125" style="109"/>
    <col min="8998" max="8998" width="11.5703125" style="109" customWidth="1"/>
    <col min="8999" max="8999" width="12.5703125" style="109" customWidth="1"/>
    <col min="9000" max="9000" width="11.5703125" style="109" customWidth="1"/>
    <col min="9001" max="9216" width="11.42578125" style="109"/>
    <col min="9217" max="9221" width="2.7109375" style="109" customWidth="1"/>
    <col min="9222" max="9222" width="3.85546875" style="109" customWidth="1"/>
    <col min="9223" max="9252" width="2.7109375" style="109" customWidth="1"/>
    <col min="9253" max="9253" width="11.42578125" style="109"/>
    <col min="9254" max="9254" width="11.5703125" style="109" customWidth="1"/>
    <col min="9255" max="9255" width="12.5703125" style="109" customWidth="1"/>
    <col min="9256" max="9256" width="11.5703125" style="109" customWidth="1"/>
    <col min="9257" max="9472" width="11.42578125" style="109"/>
    <col min="9473" max="9477" width="2.7109375" style="109" customWidth="1"/>
    <col min="9478" max="9478" width="3.85546875" style="109" customWidth="1"/>
    <col min="9479" max="9508" width="2.7109375" style="109" customWidth="1"/>
    <col min="9509" max="9509" width="11.42578125" style="109"/>
    <col min="9510" max="9510" width="11.5703125" style="109" customWidth="1"/>
    <col min="9511" max="9511" width="12.5703125" style="109" customWidth="1"/>
    <col min="9512" max="9512" width="11.5703125" style="109" customWidth="1"/>
    <col min="9513" max="9728" width="11.42578125" style="109"/>
    <col min="9729" max="9733" width="2.7109375" style="109" customWidth="1"/>
    <col min="9734" max="9734" width="3.85546875" style="109" customWidth="1"/>
    <col min="9735" max="9764" width="2.7109375" style="109" customWidth="1"/>
    <col min="9765" max="9765" width="11.42578125" style="109"/>
    <col min="9766" max="9766" width="11.5703125" style="109" customWidth="1"/>
    <col min="9767" max="9767" width="12.5703125" style="109" customWidth="1"/>
    <col min="9768" max="9768" width="11.5703125" style="109" customWidth="1"/>
    <col min="9769" max="9984" width="11.42578125" style="109"/>
    <col min="9985" max="9989" width="2.7109375" style="109" customWidth="1"/>
    <col min="9990" max="9990" width="3.85546875" style="109" customWidth="1"/>
    <col min="9991" max="10020" width="2.7109375" style="109" customWidth="1"/>
    <col min="10021" max="10021" width="11.42578125" style="109"/>
    <col min="10022" max="10022" width="11.5703125" style="109" customWidth="1"/>
    <col min="10023" max="10023" width="12.5703125" style="109" customWidth="1"/>
    <col min="10024" max="10024" width="11.5703125" style="109" customWidth="1"/>
    <col min="10025" max="10240" width="11.42578125" style="109"/>
    <col min="10241" max="10245" width="2.7109375" style="109" customWidth="1"/>
    <col min="10246" max="10246" width="3.85546875" style="109" customWidth="1"/>
    <col min="10247" max="10276" width="2.7109375" style="109" customWidth="1"/>
    <col min="10277" max="10277" width="11.42578125" style="109"/>
    <col min="10278" max="10278" width="11.5703125" style="109" customWidth="1"/>
    <col min="10279" max="10279" width="12.5703125" style="109" customWidth="1"/>
    <col min="10280" max="10280" width="11.5703125" style="109" customWidth="1"/>
    <col min="10281" max="10496" width="11.42578125" style="109"/>
    <col min="10497" max="10501" width="2.7109375" style="109" customWidth="1"/>
    <col min="10502" max="10502" width="3.85546875" style="109" customWidth="1"/>
    <col min="10503" max="10532" width="2.7109375" style="109" customWidth="1"/>
    <col min="10533" max="10533" width="11.42578125" style="109"/>
    <col min="10534" max="10534" width="11.5703125" style="109" customWidth="1"/>
    <col min="10535" max="10535" width="12.5703125" style="109" customWidth="1"/>
    <col min="10536" max="10536" width="11.5703125" style="109" customWidth="1"/>
    <col min="10537" max="10752" width="11.42578125" style="109"/>
    <col min="10753" max="10757" width="2.7109375" style="109" customWidth="1"/>
    <col min="10758" max="10758" width="3.85546875" style="109" customWidth="1"/>
    <col min="10759" max="10788" width="2.7109375" style="109" customWidth="1"/>
    <col min="10789" max="10789" width="11.42578125" style="109"/>
    <col min="10790" max="10790" width="11.5703125" style="109" customWidth="1"/>
    <col min="10791" max="10791" width="12.5703125" style="109" customWidth="1"/>
    <col min="10792" max="10792" width="11.5703125" style="109" customWidth="1"/>
    <col min="10793" max="11008" width="11.42578125" style="109"/>
    <col min="11009" max="11013" width="2.7109375" style="109" customWidth="1"/>
    <col min="11014" max="11014" width="3.85546875" style="109" customWidth="1"/>
    <col min="11015" max="11044" width="2.7109375" style="109" customWidth="1"/>
    <col min="11045" max="11045" width="11.42578125" style="109"/>
    <col min="11046" max="11046" width="11.5703125" style="109" customWidth="1"/>
    <col min="11047" max="11047" width="12.5703125" style="109" customWidth="1"/>
    <col min="11048" max="11048" width="11.5703125" style="109" customWidth="1"/>
    <col min="11049" max="11264" width="11.42578125" style="109"/>
    <col min="11265" max="11269" width="2.7109375" style="109" customWidth="1"/>
    <col min="11270" max="11270" width="3.85546875" style="109" customWidth="1"/>
    <col min="11271" max="11300" width="2.7109375" style="109" customWidth="1"/>
    <col min="11301" max="11301" width="11.42578125" style="109"/>
    <col min="11302" max="11302" width="11.5703125" style="109" customWidth="1"/>
    <col min="11303" max="11303" width="12.5703125" style="109" customWidth="1"/>
    <col min="11304" max="11304" width="11.5703125" style="109" customWidth="1"/>
    <col min="11305" max="11520" width="11.42578125" style="109"/>
    <col min="11521" max="11525" width="2.7109375" style="109" customWidth="1"/>
    <col min="11526" max="11526" width="3.85546875" style="109" customWidth="1"/>
    <col min="11527" max="11556" width="2.7109375" style="109" customWidth="1"/>
    <col min="11557" max="11557" width="11.42578125" style="109"/>
    <col min="11558" max="11558" width="11.5703125" style="109" customWidth="1"/>
    <col min="11559" max="11559" width="12.5703125" style="109" customWidth="1"/>
    <col min="11560" max="11560" width="11.5703125" style="109" customWidth="1"/>
    <col min="11561" max="11776" width="11.42578125" style="109"/>
    <col min="11777" max="11781" width="2.7109375" style="109" customWidth="1"/>
    <col min="11782" max="11782" width="3.85546875" style="109" customWidth="1"/>
    <col min="11783" max="11812" width="2.7109375" style="109" customWidth="1"/>
    <col min="11813" max="11813" width="11.42578125" style="109"/>
    <col min="11814" max="11814" width="11.5703125" style="109" customWidth="1"/>
    <col min="11815" max="11815" width="12.5703125" style="109" customWidth="1"/>
    <col min="11816" max="11816" width="11.5703125" style="109" customWidth="1"/>
    <col min="11817" max="12032" width="11.42578125" style="109"/>
    <col min="12033" max="12037" width="2.7109375" style="109" customWidth="1"/>
    <col min="12038" max="12038" width="3.85546875" style="109" customWidth="1"/>
    <col min="12039" max="12068" width="2.7109375" style="109" customWidth="1"/>
    <col min="12069" max="12069" width="11.42578125" style="109"/>
    <col min="12070" max="12070" width="11.5703125" style="109" customWidth="1"/>
    <col min="12071" max="12071" width="12.5703125" style="109" customWidth="1"/>
    <col min="12072" max="12072" width="11.5703125" style="109" customWidth="1"/>
    <col min="12073" max="12288" width="11.42578125" style="109"/>
    <col min="12289" max="12293" width="2.7109375" style="109" customWidth="1"/>
    <col min="12294" max="12294" width="3.85546875" style="109" customWidth="1"/>
    <col min="12295" max="12324" width="2.7109375" style="109" customWidth="1"/>
    <col min="12325" max="12325" width="11.42578125" style="109"/>
    <col min="12326" max="12326" width="11.5703125" style="109" customWidth="1"/>
    <col min="12327" max="12327" width="12.5703125" style="109" customWidth="1"/>
    <col min="12328" max="12328" width="11.5703125" style="109" customWidth="1"/>
    <col min="12329" max="12544" width="11.42578125" style="109"/>
    <col min="12545" max="12549" width="2.7109375" style="109" customWidth="1"/>
    <col min="12550" max="12550" width="3.85546875" style="109" customWidth="1"/>
    <col min="12551" max="12580" width="2.7109375" style="109" customWidth="1"/>
    <col min="12581" max="12581" width="11.42578125" style="109"/>
    <col min="12582" max="12582" width="11.5703125" style="109" customWidth="1"/>
    <col min="12583" max="12583" width="12.5703125" style="109" customWidth="1"/>
    <col min="12584" max="12584" width="11.5703125" style="109" customWidth="1"/>
    <col min="12585" max="12800" width="11.42578125" style="109"/>
    <col min="12801" max="12805" width="2.7109375" style="109" customWidth="1"/>
    <col min="12806" max="12806" width="3.85546875" style="109" customWidth="1"/>
    <col min="12807" max="12836" width="2.7109375" style="109" customWidth="1"/>
    <col min="12837" max="12837" width="11.42578125" style="109"/>
    <col min="12838" max="12838" width="11.5703125" style="109" customWidth="1"/>
    <col min="12839" max="12839" width="12.5703125" style="109" customWidth="1"/>
    <col min="12840" max="12840" width="11.5703125" style="109" customWidth="1"/>
    <col min="12841" max="13056" width="11.42578125" style="109"/>
    <col min="13057" max="13061" width="2.7109375" style="109" customWidth="1"/>
    <col min="13062" max="13062" width="3.85546875" style="109" customWidth="1"/>
    <col min="13063" max="13092" width="2.7109375" style="109" customWidth="1"/>
    <col min="13093" max="13093" width="11.42578125" style="109"/>
    <col min="13094" max="13094" width="11.5703125" style="109" customWidth="1"/>
    <col min="13095" max="13095" width="12.5703125" style="109" customWidth="1"/>
    <col min="13096" max="13096" width="11.5703125" style="109" customWidth="1"/>
    <col min="13097" max="13312" width="11.42578125" style="109"/>
    <col min="13313" max="13317" width="2.7109375" style="109" customWidth="1"/>
    <col min="13318" max="13318" width="3.85546875" style="109" customWidth="1"/>
    <col min="13319" max="13348" width="2.7109375" style="109" customWidth="1"/>
    <col min="13349" max="13349" width="11.42578125" style="109"/>
    <col min="13350" max="13350" width="11.5703125" style="109" customWidth="1"/>
    <col min="13351" max="13351" width="12.5703125" style="109" customWidth="1"/>
    <col min="13352" max="13352" width="11.5703125" style="109" customWidth="1"/>
    <col min="13353" max="13568" width="11.42578125" style="109"/>
    <col min="13569" max="13573" width="2.7109375" style="109" customWidth="1"/>
    <col min="13574" max="13574" width="3.85546875" style="109" customWidth="1"/>
    <col min="13575" max="13604" width="2.7109375" style="109" customWidth="1"/>
    <col min="13605" max="13605" width="11.42578125" style="109"/>
    <col min="13606" max="13606" width="11.5703125" style="109" customWidth="1"/>
    <col min="13607" max="13607" width="12.5703125" style="109" customWidth="1"/>
    <col min="13608" max="13608" width="11.5703125" style="109" customWidth="1"/>
    <col min="13609" max="13824" width="11.42578125" style="109"/>
    <col min="13825" max="13829" width="2.7109375" style="109" customWidth="1"/>
    <col min="13830" max="13830" width="3.85546875" style="109" customWidth="1"/>
    <col min="13831" max="13860" width="2.7109375" style="109" customWidth="1"/>
    <col min="13861" max="13861" width="11.42578125" style="109"/>
    <col min="13862" max="13862" width="11.5703125" style="109" customWidth="1"/>
    <col min="13863" max="13863" width="12.5703125" style="109" customWidth="1"/>
    <col min="13864" max="13864" width="11.5703125" style="109" customWidth="1"/>
    <col min="13865" max="14080" width="11.42578125" style="109"/>
    <col min="14081" max="14085" width="2.7109375" style="109" customWidth="1"/>
    <col min="14086" max="14086" width="3.85546875" style="109" customWidth="1"/>
    <col min="14087" max="14116" width="2.7109375" style="109" customWidth="1"/>
    <col min="14117" max="14117" width="11.42578125" style="109"/>
    <col min="14118" max="14118" width="11.5703125" style="109" customWidth="1"/>
    <col min="14119" max="14119" width="12.5703125" style="109" customWidth="1"/>
    <col min="14120" max="14120" width="11.5703125" style="109" customWidth="1"/>
    <col min="14121" max="14336" width="11.42578125" style="109"/>
    <col min="14337" max="14341" width="2.7109375" style="109" customWidth="1"/>
    <col min="14342" max="14342" width="3.85546875" style="109" customWidth="1"/>
    <col min="14343" max="14372" width="2.7109375" style="109" customWidth="1"/>
    <col min="14373" max="14373" width="11.42578125" style="109"/>
    <col min="14374" max="14374" width="11.5703125" style="109" customWidth="1"/>
    <col min="14375" max="14375" width="12.5703125" style="109" customWidth="1"/>
    <col min="14376" max="14376" width="11.5703125" style="109" customWidth="1"/>
    <col min="14377" max="14592" width="11.42578125" style="109"/>
    <col min="14593" max="14597" width="2.7109375" style="109" customWidth="1"/>
    <col min="14598" max="14598" width="3.85546875" style="109" customWidth="1"/>
    <col min="14599" max="14628" width="2.7109375" style="109" customWidth="1"/>
    <col min="14629" max="14629" width="11.42578125" style="109"/>
    <col min="14630" max="14630" width="11.5703125" style="109" customWidth="1"/>
    <col min="14631" max="14631" width="12.5703125" style="109" customWidth="1"/>
    <col min="14632" max="14632" width="11.5703125" style="109" customWidth="1"/>
    <col min="14633" max="14848" width="11.42578125" style="109"/>
    <col min="14849" max="14853" width="2.7109375" style="109" customWidth="1"/>
    <col min="14854" max="14854" width="3.85546875" style="109" customWidth="1"/>
    <col min="14855" max="14884" width="2.7109375" style="109" customWidth="1"/>
    <col min="14885" max="14885" width="11.42578125" style="109"/>
    <col min="14886" max="14886" width="11.5703125" style="109" customWidth="1"/>
    <col min="14887" max="14887" width="12.5703125" style="109" customWidth="1"/>
    <col min="14888" max="14888" width="11.5703125" style="109" customWidth="1"/>
    <col min="14889" max="15104" width="11.42578125" style="109"/>
    <col min="15105" max="15109" width="2.7109375" style="109" customWidth="1"/>
    <col min="15110" max="15110" width="3.85546875" style="109" customWidth="1"/>
    <col min="15111" max="15140" width="2.7109375" style="109" customWidth="1"/>
    <col min="15141" max="15141" width="11.42578125" style="109"/>
    <col min="15142" max="15142" width="11.5703125" style="109" customWidth="1"/>
    <col min="15143" max="15143" width="12.5703125" style="109" customWidth="1"/>
    <col min="15144" max="15144" width="11.5703125" style="109" customWidth="1"/>
    <col min="15145" max="15360" width="11.42578125" style="109"/>
    <col min="15361" max="15365" width="2.7109375" style="109" customWidth="1"/>
    <col min="15366" max="15366" width="3.85546875" style="109" customWidth="1"/>
    <col min="15367" max="15396" width="2.7109375" style="109" customWidth="1"/>
    <col min="15397" max="15397" width="11.42578125" style="109"/>
    <col min="15398" max="15398" width="11.5703125" style="109" customWidth="1"/>
    <col min="15399" max="15399" width="12.5703125" style="109" customWidth="1"/>
    <col min="15400" max="15400" width="11.5703125" style="109" customWidth="1"/>
    <col min="15401" max="15616" width="11.42578125" style="109"/>
    <col min="15617" max="15621" width="2.7109375" style="109" customWidth="1"/>
    <col min="15622" max="15622" width="3.85546875" style="109" customWidth="1"/>
    <col min="15623" max="15652" width="2.7109375" style="109" customWidth="1"/>
    <col min="15653" max="15653" width="11.42578125" style="109"/>
    <col min="15654" max="15654" width="11.5703125" style="109" customWidth="1"/>
    <col min="15655" max="15655" width="12.5703125" style="109" customWidth="1"/>
    <col min="15656" max="15656" width="11.5703125" style="109" customWidth="1"/>
    <col min="15657" max="15872" width="11.42578125" style="109"/>
    <col min="15873" max="15877" width="2.7109375" style="109" customWidth="1"/>
    <col min="15878" max="15878" width="3.85546875" style="109" customWidth="1"/>
    <col min="15879" max="15908" width="2.7109375" style="109" customWidth="1"/>
    <col min="15909" max="15909" width="11.42578125" style="109"/>
    <col min="15910" max="15910" width="11.5703125" style="109" customWidth="1"/>
    <col min="15911" max="15911" width="12.5703125" style="109" customWidth="1"/>
    <col min="15912" max="15912" width="11.5703125" style="109" customWidth="1"/>
    <col min="15913" max="16128" width="11.42578125" style="109"/>
    <col min="16129" max="16133" width="2.7109375" style="109" customWidth="1"/>
    <col min="16134" max="16134" width="3.85546875" style="109" customWidth="1"/>
    <col min="16135" max="16164" width="2.7109375" style="109" customWidth="1"/>
    <col min="16165" max="16165" width="11.42578125" style="109"/>
    <col min="16166" max="16166" width="11.5703125" style="109" customWidth="1"/>
    <col min="16167" max="16167" width="12.5703125" style="109" customWidth="1"/>
    <col min="16168" max="16168" width="11.5703125" style="109" customWidth="1"/>
    <col min="16169" max="16384" width="11.42578125" style="109"/>
  </cols>
  <sheetData>
    <row r="1" spans="1:46" ht="15" customHeight="1">
      <c r="A1" s="105"/>
      <c r="B1" s="106"/>
      <c r="C1" s="106"/>
      <c r="D1" s="106"/>
      <c r="E1" s="106"/>
      <c r="F1" s="106"/>
      <c r="G1" s="107"/>
      <c r="H1" s="1115" t="s">
        <v>8</v>
      </c>
      <c r="I1" s="1116"/>
      <c r="J1" s="1116"/>
      <c r="K1" s="1116"/>
      <c r="L1" s="1116"/>
      <c r="M1" s="1116"/>
      <c r="N1" s="1116"/>
      <c r="O1" s="1116"/>
      <c r="P1" s="1116"/>
      <c r="Q1" s="1116"/>
      <c r="R1" s="1116"/>
      <c r="S1" s="1116"/>
      <c r="T1" s="1116"/>
      <c r="U1" s="1116"/>
      <c r="V1" s="1116"/>
      <c r="W1" s="1116"/>
      <c r="X1" s="1116"/>
      <c r="Y1" s="1116"/>
      <c r="Z1" s="1116"/>
      <c r="AA1" s="1116"/>
      <c r="AB1" s="1116"/>
      <c r="AC1" s="1116"/>
      <c r="AD1" s="1116"/>
      <c r="AE1" s="1116"/>
      <c r="AF1" s="1116"/>
      <c r="AG1" s="1116"/>
      <c r="AH1" s="1116"/>
      <c r="AI1" s="1116"/>
      <c r="AJ1" s="108"/>
      <c r="AL1" s="1105" t="s">
        <v>63</v>
      </c>
      <c r="AM1" s="1105"/>
      <c r="AN1" s="1105"/>
      <c r="AO1" s="1105"/>
      <c r="AP1" s="1105"/>
    </row>
    <row r="2" spans="1:46" ht="27.95" customHeight="1">
      <c r="A2" s="1129"/>
      <c r="B2" s="1130"/>
      <c r="C2" s="1130"/>
      <c r="D2" s="1130"/>
      <c r="E2" s="1130"/>
      <c r="F2" s="1130"/>
      <c r="G2" s="1131"/>
      <c r="H2" s="1106" t="s">
        <v>470</v>
      </c>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8"/>
      <c r="AL2" s="545"/>
      <c r="AM2" s="545"/>
      <c r="AN2" s="545"/>
      <c r="AO2" s="545"/>
      <c r="AP2" s="545"/>
    </row>
    <row r="3" spans="1:46" ht="15" customHeight="1">
      <c r="A3" s="1129"/>
      <c r="B3" s="1130"/>
      <c r="C3" s="1130"/>
      <c r="D3" s="1130"/>
      <c r="E3" s="1130"/>
      <c r="F3" s="1130"/>
      <c r="G3" s="1131"/>
      <c r="H3" s="1109" t="s">
        <v>432</v>
      </c>
      <c r="I3" s="1110"/>
      <c r="J3" s="1110"/>
      <c r="K3" s="1110"/>
      <c r="L3" s="1110"/>
      <c r="M3" s="1110"/>
      <c r="N3" s="1110"/>
      <c r="O3" s="1110"/>
      <c r="P3" s="1110"/>
      <c r="Q3" s="1110"/>
      <c r="R3" s="1110"/>
      <c r="S3" s="1110"/>
      <c r="T3" s="1110"/>
      <c r="U3" s="1110"/>
      <c r="V3" s="1110"/>
      <c r="W3" s="1110"/>
      <c r="X3" s="1110"/>
      <c r="Y3" s="1110"/>
      <c r="Z3" s="1110"/>
      <c r="AA3" s="1110"/>
      <c r="AB3" s="1110"/>
      <c r="AC3" s="1110"/>
      <c r="AD3" s="1110"/>
      <c r="AE3" s="1110"/>
      <c r="AF3" s="1110"/>
      <c r="AG3" s="1110"/>
      <c r="AH3" s="1110"/>
      <c r="AI3" s="1110"/>
      <c r="AJ3" s="1111"/>
      <c r="AL3" s="545"/>
      <c r="AM3" s="545"/>
      <c r="AN3" s="545"/>
      <c r="AO3" s="545"/>
      <c r="AP3" s="545"/>
    </row>
    <row r="4" spans="1:46" ht="12.95" customHeight="1">
      <c r="A4" s="1129"/>
      <c r="B4" s="1130"/>
      <c r="C4" s="1130"/>
      <c r="D4" s="1130"/>
      <c r="E4" s="1130"/>
      <c r="F4" s="1130"/>
      <c r="G4" s="1131"/>
      <c r="H4" s="1112" t="s">
        <v>437</v>
      </c>
      <c r="I4" s="1113"/>
      <c r="J4" s="1113"/>
      <c r="K4" s="1113"/>
      <c r="L4" s="1113"/>
      <c r="M4" s="1113"/>
      <c r="N4" s="1113"/>
      <c r="O4" s="1113"/>
      <c r="P4" s="1113"/>
      <c r="Q4" s="1113"/>
      <c r="R4" s="1113"/>
      <c r="S4" s="1113"/>
      <c r="T4" s="1113"/>
      <c r="U4" s="1113"/>
      <c r="V4" s="1114"/>
      <c r="W4" s="1112" t="s">
        <v>440</v>
      </c>
      <c r="X4" s="1113"/>
      <c r="Y4" s="1113"/>
      <c r="Z4" s="1113"/>
      <c r="AA4" s="1113"/>
      <c r="AB4" s="1113"/>
      <c r="AC4" s="1113"/>
      <c r="AD4" s="1113"/>
      <c r="AE4" s="1113"/>
      <c r="AF4" s="1113"/>
      <c r="AG4" s="1113"/>
      <c r="AH4" s="1113"/>
      <c r="AI4" s="1113"/>
      <c r="AJ4" s="1114"/>
      <c r="AL4" s="546" t="s">
        <v>64</v>
      </c>
    </row>
    <row r="5" spans="1:46" ht="12.95" customHeight="1">
      <c r="A5" s="1132"/>
      <c r="B5" s="1133"/>
      <c r="C5" s="1133"/>
      <c r="D5" s="1133"/>
      <c r="E5" s="1133"/>
      <c r="F5" s="1133"/>
      <c r="G5" s="1134"/>
      <c r="H5" s="1135" t="s">
        <v>468</v>
      </c>
      <c r="I5" s="1136"/>
      <c r="J5" s="1136"/>
      <c r="K5" s="1136"/>
      <c r="L5" s="1136"/>
      <c r="M5" s="1136"/>
      <c r="N5" s="1136"/>
      <c r="O5" s="1136"/>
      <c r="P5" s="1136"/>
      <c r="Q5" s="1136"/>
      <c r="R5" s="1136"/>
      <c r="S5" s="1136"/>
      <c r="T5" s="1136"/>
      <c r="U5" s="1136"/>
      <c r="V5" s="1136"/>
      <c r="W5" s="1136"/>
      <c r="X5" s="1136"/>
      <c r="Y5" s="1136"/>
      <c r="Z5" s="1136"/>
      <c r="AA5" s="1136"/>
      <c r="AB5" s="1136"/>
      <c r="AC5" s="1136"/>
      <c r="AD5" s="1136"/>
      <c r="AE5" s="1136"/>
      <c r="AF5" s="1136"/>
      <c r="AG5" s="1136"/>
      <c r="AH5" s="1136"/>
      <c r="AI5" s="1136"/>
      <c r="AJ5" s="1137"/>
      <c r="AL5" s="547"/>
      <c r="AM5" s="547"/>
      <c r="AN5" s="547"/>
      <c r="AO5" s="547"/>
      <c r="AP5" s="547"/>
      <c r="AQ5" s="548" t="s">
        <v>65</v>
      </c>
      <c r="AR5" s="549" t="s">
        <v>66</v>
      </c>
      <c r="AS5" s="549" t="s">
        <v>67</v>
      </c>
    </row>
    <row r="6" spans="1:46" ht="14.1" customHeight="1">
      <c r="A6" s="1124" t="s">
        <v>5</v>
      </c>
      <c r="B6" s="1125"/>
      <c r="C6" s="1125"/>
      <c r="D6" s="1125"/>
      <c r="E6" s="1128" t="e">
        <f>IF(#REF!="","",+#REF!)</f>
        <v>#REF!</v>
      </c>
      <c r="F6" s="1128"/>
      <c r="G6" s="1128"/>
      <c r="H6" s="1128"/>
      <c r="I6" s="1128"/>
      <c r="J6" s="1128"/>
      <c r="K6" s="1128"/>
      <c r="L6" s="1128"/>
      <c r="M6" s="1128"/>
      <c r="N6" s="1128"/>
      <c r="O6" s="1128"/>
      <c r="P6" s="1128"/>
      <c r="Q6" s="1128"/>
      <c r="R6" s="1128"/>
      <c r="S6" s="1128"/>
      <c r="T6" s="1128"/>
      <c r="U6" s="1128"/>
      <c r="V6" s="1128"/>
      <c r="W6" s="1128"/>
      <c r="X6" s="1128"/>
      <c r="Y6" s="1121" t="s">
        <v>229</v>
      </c>
      <c r="Z6" s="1121"/>
      <c r="AA6" s="1121"/>
      <c r="AB6" s="1121"/>
      <c r="AC6" s="1121"/>
      <c r="AD6" s="1121"/>
      <c r="AE6" s="1119"/>
      <c r="AF6" s="1119"/>
      <c r="AG6" s="1119"/>
      <c r="AH6" s="1119"/>
      <c r="AI6" s="1119"/>
      <c r="AJ6" s="1120"/>
      <c r="AL6" s="547">
        <v>1</v>
      </c>
      <c r="AM6" s="550">
        <v>41901</v>
      </c>
      <c r="AN6" s="547">
        <v>1500</v>
      </c>
      <c r="AO6" s="547">
        <f t="shared" ref="AO6:AO23" si="0">+AN6-(AN6*AP6/100)</f>
        <v>1225.5</v>
      </c>
      <c r="AP6" s="547">
        <v>18.3</v>
      </c>
      <c r="AQ6" s="551">
        <v>18.399999999999999</v>
      </c>
      <c r="AR6" s="551">
        <v>17.5</v>
      </c>
      <c r="AS6" s="551">
        <v>20.7</v>
      </c>
    </row>
    <row r="7" spans="1:46" s="111" customFormat="1" ht="14.1" customHeight="1">
      <c r="A7" s="1138" t="s">
        <v>16</v>
      </c>
      <c r="B7" s="1139"/>
      <c r="C7" s="1139"/>
      <c r="D7" s="1139"/>
      <c r="E7" s="1127" t="e">
        <f>IF(#REF!="","",+#REF!)</f>
        <v>#REF!</v>
      </c>
      <c r="F7" s="1127"/>
      <c r="G7" s="1127"/>
      <c r="H7" s="1127"/>
      <c r="I7" s="1127"/>
      <c r="J7" s="1127"/>
      <c r="K7" s="1127"/>
      <c r="L7" s="1126" t="s">
        <v>17</v>
      </c>
      <c r="M7" s="1126"/>
      <c r="N7" s="1126"/>
      <c r="O7" s="1126"/>
      <c r="P7" s="1127" t="e">
        <f>IF(#REF!="","",#REF!)</f>
        <v>#REF!</v>
      </c>
      <c r="Q7" s="1127"/>
      <c r="R7" s="1127"/>
      <c r="S7" s="1127"/>
      <c r="T7" s="1127"/>
      <c r="U7" s="1127"/>
      <c r="V7" s="1127"/>
      <c r="W7" s="1127"/>
      <c r="X7" s="1127"/>
      <c r="Y7" s="1087" t="s">
        <v>31</v>
      </c>
      <c r="Z7" s="1087"/>
      <c r="AA7" s="1087"/>
      <c r="AB7" s="1087"/>
      <c r="AC7" s="1087"/>
      <c r="AD7" s="1087"/>
      <c r="AE7" s="1122" t="e">
        <f>IF(#REF!="","",+#REF!)</f>
        <v>#REF!</v>
      </c>
      <c r="AF7" s="1122"/>
      <c r="AG7" s="1122"/>
      <c r="AH7" s="1122"/>
      <c r="AI7" s="1122"/>
      <c r="AJ7" s="1123"/>
      <c r="AK7" s="552"/>
      <c r="AL7" s="547">
        <v>2</v>
      </c>
      <c r="AM7" s="550">
        <v>41901</v>
      </c>
      <c r="AN7" s="547">
        <v>1500</v>
      </c>
      <c r="AO7" s="553">
        <f t="shared" si="0"/>
        <v>1233</v>
      </c>
      <c r="AP7" s="547">
        <v>17.8</v>
      </c>
      <c r="AQ7" s="551">
        <v>18.399999999999999</v>
      </c>
      <c r="AR7" s="551">
        <v>17.5</v>
      </c>
      <c r="AS7" s="551">
        <v>20.7</v>
      </c>
      <c r="AT7" s="552"/>
    </row>
    <row r="8" spans="1:46" s="111" customFormat="1" ht="14.1" customHeight="1">
      <c r="A8" s="1138" t="s">
        <v>323</v>
      </c>
      <c r="B8" s="1139"/>
      <c r="C8" s="1139"/>
      <c r="D8" s="1139"/>
      <c r="E8" s="1127" t="e">
        <f>IF(#REF!="","",+#REF!)</f>
        <v>#REF!</v>
      </c>
      <c r="F8" s="1127"/>
      <c r="G8" s="1127"/>
      <c r="H8" s="1127"/>
      <c r="I8" s="1127"/>
      <c r="J8" s="1127"/>
      <c r="K8" s="1127"/>
      <c r="L8" s="1144" t="s">
        <v>18</v>
      </c>
      <c r="M8" s="1144"/>
      <c r="N8" s="1144"/>
      <c r="O8" s="1144"/>
      <c r="P8" s="1127" t="e">
        <f>IF(#REF!="","",#REF!)</f>
        <v>#REF!</v>
      </c>
      <c r="Q8" s="1127"/>
      <c r="R8" s="1127"/>
      <c r="S8" s="1127"/>
      <c r="T8" s="1127"/>
      <c r="U8" s="1127"/>
      <c r="V8" s="1127"/>
      <c r="W8" s="1127"/>
      <c r="X8" s="1127"/>
      <c r="Y8" s="1087" t="s">
        <v>266</v>
      </c>
      <c r="Z8" s="1087"/>
      <c r="AA8" s="1087"/>
      <c r="AB8" s="1087"/>
      <c r="AC8" s="1087"/>
      <c r="AD8" s="1087"/>
      <c r="AE8" s="1117"/>
      <c r="AF8" s="1117"/>
      <c r="AG8" s="1117"/>
      <c r="AH8" s="1117"/>
      <c r="AI8" s="1117"/>
      <c r="AJ8" s="1118"/>
      <c r="AK8" s="552"/>
      <c r="AL8" s="547">
        <v>3</v>
      </c>
      <c r="AM8" s="550">
        <v>41902</v>
      </c>
      <c r="AN8" s="547">
        <v>1500</v>
      </c>
      <c r="AO8" s="553">
        <f t="shared" si="0"/>
        <v>1230</v>
      </c>
      <c r="AP8" s="547">
        <v>18</v>
      </c>
      <c r="AQ8" s="551">
        <v>18.399999999999999</v>
      </c>
      <c r="AR8" s="551">
        <v>17.5</v>
      </c>
      <c r="AS8" s="551">
        <v>20.7</v>
      </c>
      <c r="AT8" s="552"/>
    </row>
    <row r="9" spans="1:46" s="111" customFormat="1" ht="14.1" customHeight="1">
      <c r="A9" s="1140" t="s">
        <v>6</v>
      </c>
      <c r="B9" s="1141"/>
      <c r="C9" s="1141"/>
      <c r="D9" s="1141"/>
      <c r="E9" s="1142" t="e">
        <f>IF(#REF!="","",+#REF!)</f>
        <v>#REF!</v>
      </c>
      <c r="F9" s="1142"/>
      <c r="G9" s="1142"/>
      <c r="H9" s="1142"/>
      <c r="I9" s="1142"/>
      <c r="J9" s="1142"/>
      <c r="K9" s="1142"/>
      <c r="L9" s="1142"/>
      <c r="M9" s="1142"/>
      <c r="N9" s="1142"/>
      <c r="O9" s="1142"/>
      <c r="P9" s="1142"/>
      <c r="Q9" s="1142"/>
      <c r="R9" s="1142"/>
      <c r="S9" s="1142"/>
      <c r="T9" s="1142"/>
      <c r="U9" s="1142"/>
      <c r="V9" s="1142"/>
      <c r="W9" s="1142"/>
      <c r="X9" s="1142"/>
      <c r="Y9" s="1143" t="s">
        <v>464</v>
      </c>
      <c r="Z9" s="1143"/>
      <c r="AA9" s="1143"/>
      <c r="AB9" s="1143"/>
      <c r="AC9" s="1143"/>
      <c r="AD9" s="1143"/>
      <c r="AE9" s="1122" t="e">
        <f>IF(#REF!="","",+#REF!)</f>
        <v>#REF!</v>
      </c>
      <c r="AF9" s="1122"/>
      <c r="AG9" s="1122"/>
      <c r="AH9" s="1122"/>
      <c r="AI9" s="1122"/>
      <c r="AJ9" s="1123"/>
      <c r="AK9" s="552"/>
      <c r="AL9" s="547">
        <v>4</v>
      </c>
      <c r="AM9" s="550">
        <v>41904</v>
      </c>
      <c r="AN9" s="547">
        <v>1500</v>
      </c>
      <c r="AO9" s="547">
        <f t="shared" si="0"/>
        <v>1207.5</v>
      </c>
      <c r="AP9" s="547">
        <v>19.5</v>
      </c>
      <c r="AQ9" s="551">
        <v>18.399999999999999</v>
      </c>
      <c r="AR9" s="551">
        <v>17.5</v>
      </c>
      <c r="AS9" s="551">
        <v>20.7</v>
      </c>
      <c r="AT9" s="552"/>
    </row>
    <row r="10" spans="1:46" s="111" customFormat="1" ht="5.25" customHeight="1">
      <c r="A10" s="112"/>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4"/>
      <c r="AK10" s="552"/>
      <c r="AL10" s="547">
        <v>5</v>
      </c>
      <c r="AM10" s="550">
        <v>41904</v>
      </c>
      <c r="AN10" s="547">
        <v>1500</v>
      </c>
      <c r="AO10" s="547">
        <f t="shared" si="0"/>
        <v>1228.5</v>
      </c>
      <c r="AP10" s="547">
        <v>18.100000000000001</v>
      </c>
      <c r="AQ10" s="551">
        <v>18.399999999999999</v>
      </c>
      <c r="AR10" s="551">
        <v>17.5</v>
      </c>
      <c r="AS10" s="551">
        <v>20.7</v>
      </c>
      <c r="AT10" s="552"/>
    </row>
    <row r="11" spans="1:46" s="111" customFormat="1" ht="17.100000000000001" customHeight="1">
      <c r="A11" s="115"/>
      <c r="B11" s="116"/>
      <c r="C11" s="116"/>
      <c r="D11" s="116"/>
      <c r="E11" s="116"/>
      <c r="F11" s="1145" t="s">
        <v>68</v>
      </c>
      <c r="G11" s="1146"/>
      <c r="H11" s="1146"/>
      <c r="I11" s="1146"/>
      <c r="J11" s="1146"/>
      <c r="K11" s="1146"/>
      <c r="L11" s="1146"/>
      <c r="M11" s="1146"/>
      <c r="N11" s="1146"/>
      <c r="O11" s="1146"/>
      <c r="P11" s="1146"/>
      <c r="Q11" s="1146"/>
      <c r="R11" s="1146"/>
      <c r="S11" s="1146"/>
      <c r="T11" s="1146"/>
      <c r="U11" s="1146"/>
      <c r="V11" s="1097"/>
      <c r="W11" s="1097"/>
      <c r="X11" s="1098"/>
      <c r="Y11" s="1090"/>
      <c r="Z11" s="1090"/>
      <c r="AA11" s="1090"/>
      <c r="AB11" s="1090"/>
      <c r="AC11" s="1090"/>
      <c r="AD11" s="1090"/>
      <c r="AE11" s="1091"/>
      <c r="AF11" s="116"/>
      <c r="AG11" s="116"/>
      <c r="AH11" s="116"/>
      <c r="AI11" s="116"/>
      <c r="AJ11" s="117"/>
      <c r="AK11" s="552"/>
      <c r="AL11" s="547">
        <v>6</v>
      </c>
      <c r="AM11" s="550">
        <v>40078</v>
      </c>
      <c r="AN11" s="547">
        <v>1500</v>
      </c>
      <c r="AO11" s="547">
        <f t="shared" si="0"/>
        <v>1219.5</v>
      </c>
      <c r="AP11" s="547">
        <v>18.7</v>
      </c>
      <c r="AQ11" s="551">
        <v>18.399999999999999</v>
      </c>
      <c r="AR11" s="551">
        <v>17.5</v>
      </c>
      <c r="AS11" s="551">
        <v>20.7</v>
      </c>
      <c r="AT11" s="552"/>
    </row>
    <row r="12" spans="1:46" s="110" customFormat="1" ht="17.100000000000001" customHeight="1">
      <c r="A12" s="118"/>
      <c r="B12" s="119"/>
      <c r="C12" s="119"/>
      <c r="D12" s="119"/>
      <c r="E12" s="119"/>
      <c r="F12" s="1085" t="s">
        <v>69</v>
      </c>
      <c r="G12" s="1086"/>
      <c r="H12" s="1086"/>
      <c r="I12" s="1086"/>
      <c r="J12" s="1086"/>
      <c r="K12" s="1086"/>
      <c r="L12" s="1086"/>
      <c r="M12" s="1086"/>
      <c r="N12" s="1086"/>
      <c r="O12" s="1086"/>
      <c r="P12" s="1086"/>
      <c r="Q12" s="1086"/>
      <c r="R12" s="1086"/>
      <c r="S12" s="1086"/>
      <c r="T12" s="1086"/>
      <c r="U12" s="1086"/>
      <c r="V12" s="1099"/>
      <c r="W12" s="1099"/>
      <c r="X12" s="1100"/>
      <c r="Y12" s="1092"/>
      <c r="Z12" s="1092"/>
      <c r="AA12" s="1092"/>
      <c r="AB12" s="1092"/>
      <c r="AC12" s="1092"/>
      <c r="AD12" s="1092"/>
      <c r="AE12" s="1093"/>
      <c r="AF12" s="119"/>
      <c r="AG12" s="119"/>
      <c r="AH12" s="119"/>
      <c r="AI12" s="116"/>
      <c r="AJ12" s="117"/>
      <c r="AK12" s="546"/>
      <c r="AL12" s="547">
        <v>8</v>
      </c>
      <c r="AM12" s="550">
        <v>40079</v>
      </c>
      <c r="AN12" s="547">
        <v>1500</v>
      </c>
      <c r="AO12" s="547">
        <f t="shared" si="0"/>
        <v>1234.5</v>
      </c>
      <c r="AP12" s="547">
        <v>17.7</v>
      </c>
      <c r="AQ12" s="551">
        <v>18.399999999999999</v>
      </c>
      <c r="AR12" s="551">
        <v>17.5</v>
      </c>
      <c r="AS12" s="551">
        <v>20.7</v>
      </c>
      <c r="AT12" s="546"/>
    </row>
    <row r="13" spans="1:46" s="110" customFormat="1" ht="17.100000000000001" customHeight="1">
      <c r="A13" s="115"/>
      <c r="B13" s="119"/>
      <c r="C13" s="119"/>
      <c r="D13" s="119"/>
      <c r="E13" s="119"/>
      <c r="F13" s="1085" t="s">
        <v>347</v>
      </c>
      <c r="G13" s="1086"/>
      <c r="H13" s="1086"/>
      <c r="I13" s="1086"/>
      <c r="J13" s="1086"/>
      <c r="K13" s="1086"/>
      <c r="L13" s="1086"/>
      <c r="M13" s="1086"/>
      <c r="N13" s="1086"/>
      <c r="O13" s="1086"/>
      <c r="P13" s="1086"/>
      <c r="Q13" s="1086"/>
      <c r="R13" s="1086"/>
      <c r="S13" s="1086"/>
      <c r="T13" s="1086"/>
      <c r="U13" s="1086"/>
      <c r="V13" s="1101" t="s">
        <v>82</v>
      </c>
      <c r="W13" s="1101"/>
      <c r="X13" s="1102"/>
      <c r="Y13" s="1092"/>
      <c r="Z13" s="1092"/>
      <c r="AA13" s="1092"/>
      <c r="AB13" s="1092"/>
      <c r="AC13" s="1092"/>
      <c r="AD13" s="1092"/>
      <c r="AE13" s="1093"/>
      <c r="AF13" s="119"/>
      <c r="AG13" s="119"/>
      <c r="AH13" s="119"/>
      <c r="AI13" s="116"/>
      <c r="AJ13" s="117"/>
      <c r="AK13" s="546"/>
      <c r="AL13" s="547">
        <v>9</v>
      </c>
      <c r="AM13" s="550">
        <v>40079</v>
      </c>
      <c r="AN13" s="547">
        <v>1500</v>
      </c>
      <c r="AO13" s="553">
        <f t="shared" si="0"/>
        <v>1227</v>
      </c>
      <c r="AP13" s="547">
        <v>18.2</v>
      </c>
      <c r="AQ13" s="551">
        <v>18.399999999999999</v>
      </c>
      <c r="AR13" s="551">
        <v>17.5</v>
      </c>
      <c r="AS13" s="551">
        <v>20.7</v>
      </c>
      <c r="AT13" s="546"/>
    </row>
    <row r="14" spans="1:46" s="110" customFormat="1" ht="17.100000000000001" customHeight="1">
      <c r="A14" s="115"/>
      <c r="B14" s="119"/>
      <c r="C14" s="119"/>
      <c r="D14" s="119"/>
      <c r="E14" s="119"/>
      <c r="F14" s="1085" t="s">
        <v>348</v>
      </c>
      <c r="G14" s="1086"/>
      <c r="H14" s="1086"/>
      <c r="I14" s="1086"/>
      <c r="J14" s="1086"/>
      <c r="K14" s="1086"/>
      <c r="L14" s="1086"/>
      <c r="M14" s="1086"/>
      <c r="N14" s="1086"/>
      <c r="O14" s="1086"/>
      <c r="P14" s="1086"/>
      <c r="Q14" s="1086"/>
      <c r="R14" s="1086"/>
      <c r="S14" s="1086"/>
      <c r="T14" s="1086"/>
      <c r="U14" s="1086"/>
      <c r="V14" s="1101" t="s">
        <v>82</v>
      </c>
      <c r="W14" s="1101"/>
      <c r="X14" s="1102"/>
      <c r="Y14" s="1092"/>
      <c r="Z14" s="1092"/>
      <c r="AA14" s="1092"/>
      <c r="AB14" s="1092"/>
      <c r="AC14" s="1092"/>
      <c r="AD14" s="1092"/>
      <c r="AE14" s="1093"/>
      <c r="AF14" s="119"/>
      <c r="AG14" s="119"/>
      <c r="AH14" s="119"/>
      <c r="AI14" s="116"/>
      <c r="AJ14" s="117"/>
      <c r="AK14" s="546"/>
      <c r="AL14" s="547">
        <v>10</v>
      </c>
      <c r="AM14" s="550">
        <v>40080</v>
      </c>
      <c r="AN14" s="547">
        <v>1500</v>
      </c>
      <c r="AO14" s="553">
        <f t="shared" si="0"/>
        <v>1224</v>
      </c>
      <c r="AP14" s="547">
        <v>18.399999999999999</v>
      </c>
      <c r="AQ14" s="551">
        <v>18.399999999999999</v>
      </c>
      <c r="AR14" s="551">
        <v>17.5</v>
      </c>
      <c r="AS14" s="551">
        <v>20.7</v>
      </c>
      <c r="AT14" s="546"/>
    </row>
    <row r="15" spans="1:46" s="110" customFormat="1" ht="17.100000000000001" customHeight="1">
      <c r="A15" s="120"/>
      <c r="B15" s="121"/>
      <c r="C15" s="121"/>
      <c r="D15" s="121"/>
      <c r="E15" s="121"/>
      <c r="F15" s="1049" t="s">
        <v>249</v>
      </c>
      <c r="G15" s="1050"/>
      <c r="H15" s="1050"/>
      <c r="I15" s="1050"/>
      <c r="J15" s="1050"/>
      <c r="K15" s="1050"/>
      <c r="L15" s="1050"/>
      <c r="M15" s="1050"/>
      <c r="N15" s="1050"/>
      <c r="O15" s="1050"/>
      <c r="P15" s="1050"/>
      <c r="Q15" s="1050"/>
      <c r="R15" s="1050"/>
      <c r="S15" s="1050"/>
      <c r="T15" s="1050"/>
      <c r="U15" s="1050"/>
      <c r="V15" s="1103" t="s">
        <v>86</v>
      </c>
      <c r="W15" s="1103"/>
      <c r="X15" s="1104"/>
      <c r="Y15" s="1094" t="str">
        <f>+IF(Y13="","",((Y13-Y14)/Y13*100))</f>
        <v/>
      </c>
      <c r="Z15" s="1094"/>
      <c r="AA15" s="1094"/>
      <c r="AB15" s="1094"/>
      <c r="AC15" s="1094"/>
      <c r="AD15" s="1094"/>
      <c r="AE15" s="1095"/>
      <c r="AF15" s="121"/>
      <c r="AG15" s="121"/>
      <c r="AH15" s="121"/>
      <c r="AI15" s="122"/>
      <c r="AJ15" s="123"/>
      <c r="AK15" s="546"/>
      <c r="AL15" s="547">
        <v>11</v>
      </c>
      <c r="AM15" s="550">
        <v>40080</v>
      </c>
      <c r="AN15" s="547">
        <v>1500</v>
      </c>
      <c r="AO15" s="553">
        <f t="shared" si="0"/>
        <v>1233</v>
      </c>
      <c r="AP15" s="547">
        <v>17.8</v>
      </c>
      <c r="AQ15" s="551">
        <v>18.399999999999999</v>
      </c>
      <c r="AR15" s="551">
        <v>17.5</v>
      </c>
      <c r="AS15" s="551">
        <v>20.7</v>
      </c>
      <c r="AT15" s="546"/>
    </row>
    <row r="16" spans="1:46" s="111" customFormat="1" ht="7.5" customHeight="1">
      <c r="A16" s="124"/>
      <c r="B16" s="125"/>
      <c r="C16" s="125"/>
      <c r="D16" s="125"/>
      <c r="E16" s="116"/>
      <c r="F16" s="116"/>
      <c r="G16" s="116"/>
      <c r="H16" s="116"/>
      <c r="I16" s="12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7"/>
      <c r="AK16" s="552"/>
      <c r="AL16" s="547">
        <v>12</v>
      </c>
      <c r="AM16" s="550">
        <v>40080</v>
      </c>
      <c r="AN16" s="547">
        <v>1500</v>
      </c>
      <c r="AO16" s="553">
        <f t="shared" si="0"/>
        <v>1213.5</v>
      </c>
      <c r="AP16" s="547">
        <v>19.100000000000001</v>
      </c>
      <c r="AQ16" s="551">
        <v>18.399999999999999</v>
      </c>
      <c r="AR16" s="551">
        <v>17.5</v>
      </c>
      <c r="AS16" s="551">
        <v>20.7</v>
      </c>
      <c r="AT16" s="552"/>
    </row>
    <row r="17" spans="1:45" ht="12.75" customHeight="1">
      <c r="A17" s="124"/>
      <c r="B17" s="125"/>
      <c r="C17" s="125"/>
      <c r="D17" s="125"/>
      <c r="E17" s="116"/>
      <c r="AF17" s="116"/>
      <c r="AG17" s="116"/>
      <c r="AH17" s="116"/>
      <c r="AI17" s="116"/>
      <c r="AJ17" s="117"/>
      <c r="AL17" s="547">
        <v>14</v>
      </c>
      <c r="AM17" s="550">
        <v>41542</v>
      </c>
      <c r="AN17" s="547">
        <v>1500</v>
      </c>
      <c r="AO17" s="553">
        <f t="shared" si="0"/>
        <v>1210.5</v>
      </c>
      <c r="AP17" s="547">
        <v>19.3</v>
      </c>
      <c r="AQ17" s="551">
        <v>18.399999999999999</v>
      </c>
      <c r="AR17" s="551">
        <v>17.5</v>
      </c>
      <c r="AS17" s="551">
        <v>20.7</v>
      </c>
    </row>
    <row r="18" spans="1:45" ht="12.95" customHeight="1">
      <c r="A18" s="124"/>
      <c r="B18" s="125"/>
      <c r="C18" s="125"/>
      <c r="D18" s="125"/>
      <c r="E18" s="116"/>
      <c r="F18" s="1096" t="s">
        <v>349</v>
      </c>
      <c r="G18" s="1096"/>
      <c r="H18" s="1096"/>
      <c r="I18" s="1096"/>
      <c r="J18" s="1096"/>
      <c r="K18" s="1096"/>
      <c r="L18" s="1096"/>
      <c r="M18" s="1096"/>
      <c r="N18" s="1096"/>
      <c r="O18" s="1096"/>
      <c r="P18" s="1096"/>
      <c r="Q18" s="1096"/>
      <c r="R18" s="1096"/>
      <c r="S18" s="1096"/>
      <c r="T18" s="1096"/>
      <c r="U18" s="1096"/>
      <c r="V18" s="1096"/>
      <c r="W18" s="1096"/>
      <c r="X18" s="1096"/>
      <c r="Y18" s="1096"/>
      <c r="Z18" s="1096"/>
      <c r="AA18" s="1096"/>
      <c r="AB18" s="1096"/>
      <c r="AC18" s="1096"/>
      <c r="AD18" s="1096"/>
      <c r="AE18" s="1096"/>
      <c r="AF18" s="116"/>
      <c r="AG18" s="116"/>
      <c r="AH18" s="116"/>
      <c r="AI18" s="116"/>
      <c r="AJ18" s="117"/>
      <c r="AL18" s="547">
        <v>15</v>
      </c>
      <c r="AM18" s="550">
        <v>41542</v>
      </c>
      <c r="AN18" s="547">
        <v>1500</v>
      </c>
      <c r="AO18" s="553">
        <f t="shared" si="0"/>
        <v>1218</v>
      </c>
      <c r="AP18" s="553">
        <v>18.8</v>
      </c>
      <c r="AQ18" s="551">
        <v>18.399999999999999</v>
      </c>
      <c r="AR18" s="551">
        <v>17.5</v>
      </c>
      <c r="AS18" s="551">
        <v>20.7</v>
      </c>
    </row>
    <row r="19" spans="1:45" ht="12.95" customHeight="1">
      <c r="A19" s="124"/>
      <c r="B19" s="125"/>
      <c r="C19" s="125"/>
      <c r="D19" s="125"/>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7"/>
      <c r="AL19" s="547">
        <v>16</v>
      </c>
      <c r="AM19" s="550">
        <v>41543</v>
      </c>
      <c r="AN19" s="547">
        <v>1500</v>
      </c>
      <c r="AO19" s="553">
        <f t="shared" si="0"/>
        <v>1230</v>
      </c>
      <c r="AP19" s="553">
        <v>18</v>
      </c>
      <c r="AQ19" s="551">
        <v>18.399999999999999</v>
      </c>
      <c r="AR19" s="551">
        <v>17.5</v>
      </c>
      <c r="AS19" s="551">
        <v>20.7</v>
      </c>
    </row>
    <row r="20" spans="1:45" ht="12.95" customHeight="1">
      <c r="A20" s="124"/>
      <c r="B20" s="125"/>
      <c r="C20" s="125"/>
      <c r="D20" s="125"/>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7"/>
      <c r="AL20" s="547">
        <v>17</v>
      </c>
      <c r="AM20" s="550">
        <v>41543</v>
      </c>
      <c r="AN20" s="547">
        <v>1500</v>
      </c>
      <c r="AO20" s="553">
        <f t="shared" si="0"/>
        <v>1212</v>
      </c>
      <c r="AP20" s="553">
        <v>19.2</v>
      </c>
      <c r="AQ20" s="551">
        <v>18.399999999999999</v>
      </c>
      <c r="AR20" s="551">
        <v>17.5</v>
      </c>
      <c r="AS20" s="551">
        <v>20.7</v>
      </c>
    </row>
    <row r="21" spans="1:45" ht="13.5" customHeight="1">
      <c r="A21" s="124"/>
      <c r="B21" s="125"/>
      <c r="C21" s="125"/>
      <c r="D21" s="125"/>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7"/>
      <c r="AL21" s="547">
        <v>18</v>
      </c>
      <c r="AM21" s="550">
        <v>41544</v>
      </c>
      <c r="AN21" s="547">
        <v>1500</v>
      </c>
      <c r="AO21" s="553">
        <f t="shared" si="0"/>
        <v>1231.5</v>
      </c>
      <c r="AP21" s="553">
        <v>17.899999999999999</v>
      </c>
      <c r="AQ21" s="551">
        <v>18.399999999999999</v>
      </c>
      <c r="AR21" s="551">
        <v>17.5</v>
      </c>
      <c r="AS21" s="551">
        <v>20.7</v>
      </c>
    </row>
    <row r="22" spans="1:45" ht="12.95" customHeight="1">
      <c r="A22" s="124"/>
      <c r="B22" s="125"/>
      <c r="C22" s="125"/>
      <c r="D22" s="125"/>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7"/>
      <c r="AL22" s="547">
        <v>19</v>
      </c>
      <c r="AM22" s="550">
        <v>41544</v>
      </c>
      <c r="AN22" s="547">
        <v>1500</v>
      </c>
      <c r="AO22" s="553">
        <f t="shared" si="0"/>
        <v>1198.5</v>
      </c>
      <c r="AP22" s="553">
        <v>20.100000000000001</v>
      </c>
      <c r="AQ22" s="551">
        <v>18.399999999999999</v>
      </c>
      <c r="AR22" s="551">
        <v>17.5</v>
      </c>
      <c r="AS22" s="551">
        <v>20.7</v>
      </c>
    </row>
    <row r="23" spans="1:45" ht="12.95" customHeight="1">
      <c r="A23" s="124"/>
      <c r="B23" s="125"/>
      <c r="C23" s="125"/>
      <c r="D23" s="125"/>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7"/>
      <c r="AL23" s="547">
        <v>20</v>
      </c>
      <c r="AM23" s="550">
        <v>41544</v>
      </c>
      <c r="AN23" s="547">
        <v>1500</v>
      </c>
      <c r="AO23" s="553">
        <f t="shared" si="0"/>
        <v>1231.5</v>
      </c>
      <c r="AP23" s="553">
        <v>17.899999999999999</v>
      </c>
      <c r="AQ23" s="551">
        <v>18.399999999999999</v>
      </c>
      <c r="AR23" s="551">
        <v>17.5</v>
      </c>
      <c r="AS23" s="551">
        <v>20.7</v>
      </c>
    </row>
    <row r="24" spans="1:45" ht="12.95" customHeight="1">
      <c r="A24" s="127"/>
      <c r="B24" s="125"/>
      <c r="C24" s="125"/>
      <c r="D24" s="125"/>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7"/>
      <c r="AL24" s="547"/>
      <c r="AM24" s="550"/>
      <c r="AN24" s="547"/>
      <c r="AO24" s="553"/>
      <c r="AP24" s="553"/>
      <c r="AQ24" s="551"/>
      <c r="AR24" s="551"/>
      <c r="AS24" s="551"/>
    </row>
    <row r="25" spans="1:45" ht="12.95" customHeight="1">
      <c r="A25" s="118"/>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7"/>
    </row>
    <row r="26" spans="1:45" ht="12.95" customHeight="1">
      <c r="A26" s="118"/>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7"/>
      <c r="AL26" s="544" t="s">
        <v>65</v>
      </c>
      <c r="AP26" s="554">
        <f>AVERAGE(AP6:AP24)</f>
        <v>18.488888888888891</v>
      </c>
    </row>
    <row r="27" spans="1:45" ht="12.95" customHeight="1">
      <c r="A27" s="118"/>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089"/>
      <c r="AH27" s="1089"/>
      <c r="AI27" s="116"/>
      <c r="AJ27" s="117"/>
      <c r="AL27" s="546" t="s">
        <v>70</v>
      </c>
      <c r="AP27" s="555">
        <v>19.100000000000001</v>
      </c>
    </row>
    <row r="28" spans="1:45" ht="12.95" customHeight="1">
      <c r="A28" s="118"/>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055"/>
      <c r="AH28" s="1055"/>
      <c r="AI28" s="116"/>
      <c r="AJ28" s="117"/>
      <c r="AL28" s="546"/>
      <c r="AP28" s="556"/>
    </row>
    <row r="29" spans="1:45" ht="12" customHeight="1">
      <c r="A29" s="118"/>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055"/>
      <c r="AH29" s="1055"/>
      <c r="AI29" s="116"/>
      <c r="AJ29" s="117"/>
      <c r="AL29" s="544">
        <v>20</v>
      </c>
      <c r="AM29" s="544">
        <v>100</v>
      </c>
    </row>
    <row r="30" spans="1:45" ht="12.95" customHeight="1">
      <c r="A30" s="118"/>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7"/>
      <c r="AL30" s="544">
        <f>+AL29*AM30/AM29</f>
        <v>19</v>
      </c>
      <c r="AM30" s="544">
        <v>95</v>
      </c>
    </row>
    <row r="31" spans="1:45" ht="12.95" customHeight="1">
      <c r="A31" s="118"/>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7"/>
      <c r="AL31" s="557" t="s">
        <v>71</v>
      </c>
    </row>
    <row r="32" spans="1:45" ht="12.95" customHeight="1">
      <c r="A32" s="118"/>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7"/>
    </row>
    <row r="33" spans="1:46" ht="12.95" customHeight="1">
      <c r="A33" s="118"/>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7"/>
    </row>
    <row r="34" spans="1:46" ht="12.95" customHeight="1">
      <c r="A34" s="118"/>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7"/>
    </row>
    <row r="35" spans="1:46" ht="21" customHeight="1">
      <c r="A35" s="118"/>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7"/>
      <c r="AL35" s="544" t="s">
        <v>72</v>
      </c>
      <c r="AM35" s="544" t="s">
        <v>73</v>
      </c>
    </row>
    <row r="36" spans="1:46" ht="18" customHeight="1">
      <c r="A36" s="118"/>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6"/>
      <c r="AD36" s="116"/>
      <c r="AE36" s="116"/>
      <c r="AF36" s="116"/>
      <c r="AG36" s="116"/>
      <c r="AH36" s="116"/>
      <c r="AI36" s="116"/>
      <c r="AJ36" s="117"/>
      <c r="AL36" s="544" t="s">
        <v>74</v>
      </c>
      <c r="AM36" s="544" t="s">
        <v>75</v>
      </c>
    </row>
    <row r="37" spans="1:46" ht="18" customHeight="1">
      <c r="A37" s="118"/>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7"/>
      <c r="AL37" s="544" t="s">
        <v>76</v>
      </c>
      <c r="AM37" s="544" t="s">
        <v>77</v>
      </c>
    </row>
    <row r="38" spans="1:46" ht="16.5" customHeight="1">
      <c r="A38" s="118"/>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7"/>
    </row>
    <row r="39" spans="1:46" ht="18.75" customHeight="1">
      <c r="A39" s="128"/>
      <c r="B39" s="129"/>
      <c r="C39" s="129"/>
      <c r="D39" s="129"/>
      <c r="E39" s="129"/>
      <c r="F39" s="129"/>
      <c r="G39" s="129"/>
      <c r="H39" s="129"/>
      <c r="I39" s="129"/>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30"/>
    </row>
    <row r="40" spans="1:46" ht="25.5" customHeight="1">
      <c r="A40" s="1074" t="s">
        <v>19</v>
      </c>
      <c r="B40" s="1075"/>
      <c r="C40" s="1075"/>
      <c r="D40" s="1075"/>
      <c r="E40" s="1075"/>
      <c r="F40" s="1075"/>
      <c r="G40" s="598"/>
      <c r="H40" s="1076"/>
      <c r="I40" s="1076"/>
      <c r="J40" s="1076"/>
      <c r="K40" s="1076"/>
      <c r="L40" s="1076"/>
      <c r="M40" s="1076"/>
      <c r="N40" s="1076"/>
      <c r="O40" s="1076"/>
      <c r="P40" s="1076"/>
      <c r="Q40" s="1076"/>
      <c r="R40" s="1076"/>
      <c r="S40" s="1076"/>
      <c r="T40" s="1076"/>
      <c r="U40" s="1076"/>
      <c r="V40" s="1076"/>
      <c r="W40" s="1076"/>
      <c r="X40" s="1076"/>
      <c r="Y40" s="1076"/>
      <c r="Z40" s="1076"/>
      <c r="AA40" s="1076"/>
      <c r="AB40" s="1076"/>
      <c r="AC40" s="1076"/>
      <c r="AD40" s="1076"/>
      <c r="AE40" s="1076"/>
      <c r="AF40" s="1076"/>
      <c r="AG40" s="1076"/>
      <c r="AH40" s="1076"/>
      <c r="AI40" s="1076"/>
      <c r="AJ40" s="1077"/>
    </row>
    <row r="41" spans="1:46" ht="25.5" customHeight="1">
      <c r="A41" s="1056"/>
      <c r="B41" s="1057"/>
      <c r="C41" s="1057"/>
      <c r="D41" s="1057"/>
      <c r="E41" s="1057"/>
      <c r="F41" s="1057"/>
      <c r="G41" s="1057"/>
      <c r="H41" s="1057"/>
      <c r="I41" s="1057"/>
      <c r="J41" s="1057"/>
      <c r="K41" s="1057"/>
      <c r="L41" s="1057"/>
      <c r="M41" s="1057"/>
      <c r="N41" s="1057"/>
      <c r="O41" s="1057"/>
      <c r="P41" s="1057"/>
      <c r="Q41" s="1057"/>
      <c r="R41" s="1057"/>
      <c r="S41" s="1057"/>
      <c r="T41" s="1057"/>
      <c r="U41" s="1057"/>
      <c r="V41" s="1057"/>
      <c r="W41" s="1057"/>
      <c r="X41" s="1057"/>
      <c r="Y41" s="1057"/>
      <c r="Z41" s="1057"/>
      <c r="AA41" s="1057"/>
      <c r="AB41" s="1057"/>
      <c r="AC41" s="1057"/>
      <c r="AD41" s="1057"/>
      <c r="AE41" s="1057"/>
      <c r="AF41" s="1057"/>
      <c r="AG41" s="1057"/>
      <c r="AH41" s="1057"/>
      <c r="AI41" s="1057"/>
      <c r="AJ41" s="1058"/>
    </row>
    <row r="42" spans="1:46" s="72" customFormat="1" ht="14.1" customHeight="1">
      <c r="A42" s="1059"/>
      <c r="B42" s="1060"/>
      <c r="C42" s="1060"/>
      <c r="D42" s="1060"/>
      <c r="E42" s="1060"/>
      <c r="F42" s="1060"/>
      <c r="G42" s="1060"/>
      <c r="H42" s="1060"/>
      <c r="I42" s="1062" t="s">
        <v>9</v>
      </c>
      <c r="J42" s="1063"/>
      <c r="K42" s="1063"/>
      <c r="L42" s="1063"/>
      <c r="M42" s="1063"/>
      <c r="N42" s="1063"/>
      <c r="O42" s="1063"/>
      <c r="P42" s="1063"/>
      <c r="Q42" s="1064"/>
      <c r="R42" s="1062" t="s">
        <v>21</v>
      </c>
      <c r="S42" s="1063"/>
      <c r="T42" s="1063"/>
      <c r="U42" s="1063"/>
      <c r="V42" s="1063"/>
      <c r="W42" s="1063"/>
      <c r="X42" s="1063"/>
      <c r="Y42" s="1063"/>
      <c r="Z42" s="1063"/>
      <c r="AA42" s="1063"/>
      <c r="AB42" s="1064"/>
      <c r="AC42" s="1063" t="s">
        <v>22</v>
      </c>
      <c r="AD42" s="1063"/>
      <c r="AE42" s="1063"/>
      <c r="AF42" s="1063"/>
      <c r="AG42" s="1063"/>
      <c r="AH42" s="1063"/>
      <c r="AI42" s="1063"/>
      <c r="AJ42" s="1088"/>
      <c r="AK42" s="378"/>
      <c r="AL42" s="378"/>
      <c r="AM42" s="378"/>
      <c r="AN42" s="378"/>
      <c r="AO42" s="378"/>
      <c r="AP42" s="378"/>
      <c r="AQ42" s="378"/>
      <c r="AR42" s="378"/>
      <c r="AS42" s="378"/>
      <c r="AT42" s="378"/>
    </row>
    <row r="43" spans="1:46" s="67" customFormat="1" ht="39.950000000000003" customHeight="1">
      <c r="A43" s="1061" t="s">
        <v>12</v>
      </c>
      <c r="B43" s="938"/>
      <c r="C43" s="938"/>
      <c r="D43" s="938"/>
      <c r="E43" s="938"/>
      <c r="F43" s="938"/>
      <c r="G43" s="938"/>
      <c r="H43" s="938"/>
      <c r="I43" s="1065"/>
      <c r="J43" s="1066"/>
      <c r="K43" s="1066"/>
      <c r="L43" s="1066"/>
      <c r="M43" s="1066"/>
      <c r="N43" s="1066"/>
      <c r="O43" s="1066"/>
      <c r="P43" s="1066"/>
      <c r="Q43" s="1067"/>
      <c r="R43" s="1065"/>
      <c r="S43" s="1066"/>
      <c r="T43" s="1066"/>
      <c r="U43" s="1066"/>
      <c r="V43" s="1066"/>
      <c r="W43" s="1066"/>
      <c r="X43" s="1066"/>
      <c r="Y43" s="1066"/>
      <c r="Z43" s="1066"/>
      <c r="AA43" s="1066"/>
      <c r="AB43" s="1067"/>
      <c r="AC43" s="1051"/>
      <c r="AD43" s="1051"/>
      <c r="AE43" s="1051"/>
      <c r="AF43" s="1051"/>
      <c r="AG43" s="1051"/>
      <c r="AH43" s="1051"/>
      <c r="AI43" s="1051"/>
      <c r="AJ43" s="1052"/>
      <c r="AK43" s="558"/>
      <c r="AL43" s="558"/>
      <c r="AM43" s="558"/>
      <c r="AN43" s="558"/>
      <c r="AO43" s="558"/>
      <c r="AP43" s="558"/>
      <c r="AQ43" s="558"/>
      <c r="AR43" s="558"/>
      <c r="AS43" s="558"/>
      <c r="AT43" s="558"/>
    </row>
    <row r="44" spans="1:46" s="67" customFormat="1" ht="14.1" customHeight="1">
      <c r="A44" s="1061" t="s">
        <v>448</v>
      </c>
      <c r="B44" s="938"/>
      <c r="C44" s="938"/>
      <c r="D44" s="938"/>
      <c r="E44" s="938"/>
      <c r="F44" s="938"/>
      <c r="G44" s="938"/>
      <c r="H44" s="938"/>
      <c r="I44" s="1068" t="s">
        <v>410</v>
      </c>
      <c r="J44" s="1069"/>
      <c r="K44" s="1069"/>
      <c r="L44" s="1069"/>
      <c r="M44" s="1069"/>
      <c r="N44" s="1069"/>
      <c r="O44" s="1069"/>
      <c r="P44" s="1069"/>
      <c r="Q44" s="1070"/>
      <c r="R44" s="1068" t="s">
        <v>410</v>
      </c>
      <c r="S44" s="1069"/>
      <c r="T44" s="1069"/>
      <c r="U44" s="1069"/>
      <c r="V44" s="1069"/>
      <c r="W44" s="1069"/>
      <c r="X44" s="1069"/>
      <c r="Y44" s="1069"/>
      <c r="Z44" s="1069"/>
      <c r="AA44" s="1069"/>
      <c r="AB44" s="1070"/>
      <c r="AC44" s="1053" t="s">
        <v>410</v>
      </c>
      <c r="AD44" s="1053"/>
      <c r="AE44" s="1053"/>
      <c r="AF44" s="1053"/>
      <c r="AG44" s="1053"/>
      <c r="AH44" s="1053"/>
      <c r="AI44" s="1053"/>
      <c r="AJ44" s="1054"/>
      <c r="AK44" s="558"/>
      <c r="AL44" s="558"/>
      <c r="AM44" s="558"/>
      <c r="AN44" s="558"/>
      <c r="AO44" s="558"/>
      <c r="AP44" s="558"/>
      <c r="AQ44" s="558"/>
      <c r="AR44" s="558"/>
      <c r="AS44" s="558"/>
      <c r="AT44" s="558"/>
    </row>
    <row r="45" spans="1:46" s="67" customFormat="1" ht="14.1" customHeight="1" thickBot="1">
      <c r="A45" s="1081" t="s">
        <v>13</v>
      </c>
      <c r="B45" s="1082"/>
      <c r="C45" s="1082"/>
      <c r="D45" s="1082"/>
      <c r="E45" s="1082"/>
      <c r="F45" s="1082"/>
      <c r="G45" s="1082"/>
      <c r="H45" s="1082"/>
      <c r="I45" s="1071" t="str">
        <f>IF(I44="--","",VLOOKUP(I44,firmas!A2:B26,2,0))</f>
        <v/>
      </c>
      <c r="J45" s="1072"/>
      <c r="K45" s="1072"/>
      <c r="L45" s="1072"/>
      <c r="M45" s="1072"/>
      <c r="N45" s="1072"/>
      <c r="O45" s="1072"/>
      <c r="P45" s="1072"/>
      <c r="Q45" s="1073"/>
      <c r="R45" s="1071" t="str">
        <f>IF(R44="--","",VLOOKUP(R44,firmas!A28:B31,2,0))</f>
        <v/>
      </c>
      <c r="S45" s="1072"/>
      <c r="T45" s="1072"/>
      <c r="U45" s="1072"/>
      <c r="V45" s="1072"/>
      <c r="W45" s="1072"/>
      <c r="X45" s="1072"/>
      <c r="Y45" s="1072"/>
      <c r="Z45" s="1072"/>
      <c r="AA45" s="1072"/>
      <c r="AB45" s="1073"/>
      <c r="AC45" s="1083" t="str">
        <f>IF(AC44="--","",VLOOKUP(AC44,firmas!A33:B34,2))</f>
        <v/>
      </c>
      <c r="AD45" s="1083"/>
      <c r="AE45" s="1083"/>
      <c r="AF45" s="1083"/>
      <c r="AG45" s="1083"/>
      <c r="AH45" s="1083"/>
      <c r="AI45" s="1083"/>
      <c r="AJ45" s="1084"/>
      <c r="AK45" s="558"/>
      <c r="AL45" s="558"/>
      <c r="AM45" s="558"/>
      <c r="AN45" s="558"/>
      <c r="AO45" s="558"/>
      <c r="AP45" s="558"/>
      <c r="AQ45" s="558"/>
      <c r="AR45" s="558"/>
      <c r="AS45" s="558"/>
      <c r="AT45" s="558"/>
    </row>
    <row r="46" spans="1:46" s="67" customFormat="1" ht="12" customHeight="1" thickTop="1" thickBot="1">
      <c r="A46" s="1079" t="s">
        <v>23</v>
      </c>
      <c r="B46" s="1079"/>
      <c r="C46" s="1079"/>
      <c r="D46" s="1079"/>
      <c r="E46" s="1079"/>
      <c r="F46" s="1079"/>
      <c r="G46" s="1079"/>
      <c r="H46" s="1079"/>
      <c r="I46" s="1079"/>
      <c r="J46" s="1079"/>
      <c r="K46" s="1079"/>
      <c r="L46" s="1079"/>
      <c r="M46" s="1079"/>
      <c r="N46" s="1079"/>
      <c r="O46" s="1079"/>
      <c r="P46" s="1079"/>
      <c r="Q46" s="1079"/>
      <c r="R46" s="1079"/>
      <c r="S46" s="1079"/>
      <c r="T46" s="1079"/>
      <c r="U46" s="1079"/>
      <c r="V46" s="1079"/>
      <c r="W46" s="1079"/>
      <c r="X46" s="1079"/>
      <c r="Y46" s="1079"/>
      <c r="Z46" s="1079"/>
      <c r="AA46" s="1079"/>
      <c r="AB46" s="1079"/>
      <c r="AC46" s="1079"/>
      <c r="AD46" s="1079"/>
      <c r="AE46" s="1079"/>
      <c r="AF46" s="1079"/>
      <c r="AG46" s="1079"/>
      <c r="AH46" s="1079"/>
      <c r="AI46" s="1079"/>
      <c r="AJ46" s="1079"/>
      <c r="AK46" s="558"/>
      <c r="AL46" s="558"/>
      <c r="AM46" s="558"/>
      <c r="AN46" s="558"/>
      <c r="AO46" s="558"/>
      <c r="AP46" s="558"/>
      <c r="AQ46" s="558"/>
      <c r="AR46" s="558"/>
      <c r="AS46" s="558"/>
      <c r="AT46" s="558"/>
    </row>
    <row r="47" spans="1:46" s="67" customFormat="1" ht="18" customHeight="1" thickTop="1">
      <c r="A47" s="1080" t="s">
        <v>24</v>
      </c>
      <c r="B47" s="1080"/>
      <c r="C47" s="1080"/>
      <c r="D47" s="1080"/>
      <c r="E47" s="1080"/>
      <c r="F47" s="1080"/>
      <c r="G47" s="1080"/>
      <c r="H47" s="1080"/>
      <c r="I47" s="1080"/>
      <c r="J47" s="1080"/>
      <c r="K47" s="1080"/>
      <c r="L47" s="1080"/>
      <c r="M47" s="1080"/>
      <c r="N47" s="1080"/>
      <c r="O47" s="1080"/>
      <c r="P47" s="1080"/>
      <c r="Q47" s="1080"/>
      <c r="R47" s="1080"/>
      <c r="S47" s="1080"/>
      <c r="T47" s="1080"/>
      <c r="U47" s="1080"/>
      <c r="V47" s="1080"/>
      <c r="W47" s="1080"/>
      <c r="X47" s="1080"/>
      <c r="Y47" s="1080"/>
      <c r="Z47" s="1080"/>
      <c r="AA47" s="1080"/>
      <c r="AB47" s="1080"/>
      <c r="AC47" s="1080"/>
      <c r="AD47" s="1080"/>
      <c r="AE47" s="1080"/>
      <c r="AF47" s="1080"/>
      <c r="AG47" s="1080"/>
      <c r="AH47" s="1080"/>
      <c r="AI47" s="1080"/>
      <c r="AJ47" s="1080"/>
      <c r="AK47" s="558"/>
      <c r="AL47" s="558"/>
      <c r="AM47" s="558"/>
      <c r="AN47" s="558"/>
      <c r="AO47" s="558"/>
      <c r="AP47" s="558"/>
      <c r="AQ47" s="558"/>
      <c r="AR47" s="558"/>
      <c r="AS47" s="558"/>
      <c r="AT47" s="558"/>
    </row>
    <row r="48" spans="1:46" s="73" customFormat="1" ht="27.95" customHeight="1">
      <c r="A48" s="1078" t="s">
        <v>15</v>
      </c>
      <c r="B48" s="1078"/>
      <c r="C48" s="1078"/>
      <c r="D48" s="1078"/>
      <c r="E48" s="1078"/>
      <c r="F48" s="1078"/>
      <c r="G48" s="1078"/>
      <c r="H48" s="1078"/>
      <c r="I48" s="1078"/>
      <c r="J48" s="1078"/>
      <c r="K48" s="1078"/>
      <c r="L48" s="1078"/>
      <c r="M48" s="1078"/>
      <c r="N48" s="1078"/>
      <c r="O48" s="1078"/>
      <c r="P48" s="1078"/>
      <c r="Q48" s="1078"/>
      <c r="R48" s="1078"/>
      <c r="S48" s="1078"/>
      <c r="T48" s="1078"/>
      <c r="U48" s="1078"/>
      <c r="V48" s="1078"/>
      <c r="W48" s="1078"/>
      <c r="X48" s="1078"/>
      <c r="Y48" s="1078"/>
      <c r="Z48" s="1078"/>
      <c r="AA48" s="1078"/>
      <c r="AB48" s="1078"/>
      <c r="AC48" s="1078"/>
      <c r="AD48" s="1078"/>
      <c r="AE48" s="1078"/>
      <c r="AF48" s="1078"/>
      <c r="AG48" s="1078"/>
      <c r="AH48" s="1078"/>
      <c r="AI48" s="1078"/>
      <c r="AJ48" s="1078"/>
      <c r="AK48" s="559"/>
      <c r="AL48" s="559"/>
      <c r="AM48" s="559"/>
      <c r="AN48" s="559"/>
      <c r="AO48" s="559"/>
      <c r="AP48" s="559"/>
      <c r="AQ48" s="559"/>
      <c r="AR48" s="559"/>
      <c r="AS48" s="559"/>
      <c r="AT48" s="559"/>
    </row>
    <row r="49" spans="1:46" s="67" customFormat="1" ht="28.5" customHeight="1">
      <c r="A49" s="109"/>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558"/>
      <c r="AL49" s="558"/>
      <c r="AM49" s="558"/>
      <c r="AN49" s="558"/>
      <c r="AO49" s="558"/>
      <c r="AP49" s="558"/>
      <c r="AQ49" s="558"/>
      <c r="AR49" s="558"/>
      <c r="AS49" s="558"/>
      <c r="AT49" s="558"/>
    </row>
    <row r="50" spans="1:46" s="67" customFormat="1" ht="30"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558"/>
      <c r="AL50" s="558"/>
      <c r="AM50" s="558"/>
      <c r="AN50" s="558"/>
      <c r="AO50" s="558"/>
      <c r="AP50" s="558"/>
      <c r="AQ50" s="558"/>
      <c r="AR50" s="558"/>
      <c r="AS50" s="558"/>
      <c r="AT50" s="558"/>
    </row>
  </sheetData>
  <sheetProtection algorithmName="SHA-512" hashValue="kZVq5VH7TezOv6TW8OjfIi+0diW+LStA1znqxO5q1mtxaom/OXGoLbKRXR7CDURzRUQIN7kx3rX9u7Yie/vBww==" saltValue="2DPcHzusyLkK0l2R+NfAsQ==" spinCount="100000" sheet="1" formatCells="0" formatColumns="0" formatRows="0"/>
  <mergeCells count="69">
    <mergeCell ref="A2:G5"/>
    <mergeCell ref="H5:AJ5"/>
    <mergeCell ref="F13:U13"/>
    <mergeCell ref="AE9:AJ9"/>
    <mergeCell ref="A7:D7"/>
    <mergeCell ref="A8:D8"/>
    <mergeCell ref="A9:D9"/>
    <mergeCell ref="E7:K7"/>
    <mergeCell ref="E8:K8"/>
    <mergeCell ref="E9:X9"/>
    <mergeCell ref="P8:X8"/>
    <mergeCell ref="Y9:AD9"/>
    <mergeCell ref="L8:O8"/>
    <mergeCell ref="Y7:AD7"/>
    <mergeCell ref="F11:U11"/>
    <mergeCell ref="F12:U12"/>
    <mergeCell ref="AE8:AJ8"/>
    <mergeCell ref="AE6:AJ6"/>
    <mergeCell ref="Y6:AD6"/>
    <mergeCell ref="AE7:AJ7"/>
    <mergeCell ref="A6:D6"/>
    <mergeCell ref="L7:O7"/>
    <mergeCell ref="P7:X7"/>
    <mergeCell ref="E6:X6"/>
    <mergeCell ref="AL1:AP1"/>
    <mergeCell ref="H2:AJ2"/>
    <mergeCell ref="H3:AJ3"/>
    <mergeCell ref="H4:V4"/>
    <mergeCell ref="W4:AJ4"/>
    <mergeCell ref="H1:AI1"/>
    <mergeCell ref="F14:U14"/>
    <mergeCell ref="Y8:AD8"/>
    <mergeCell ref="AC42:AJ42"/>
    <mergeCell ref="I42:Q42"/>
    <mergeCell ref="AG27:AH27"/>
    <mergeCell ref="Y11:AE11"/>
    <mergeCell ref="Y12:AE12"/>
    <mergeCell ref="Y13:AE13"/>
    <mergeCell ref="Y14:AE14"/>
    <mergeCell ref="Y15:AE15"/>
    <mergeCell ref="F18:AE18"/>
    <mergeCell ref="V11:X11"/>
    <mergeCell ref="V12:X12"/>
    <mergeCell ref="V13:X13"/>
    <mergeCell ref="V14:X14"/>
    <mergeCell ref="V15:X15"/>
    <mergeCell ref="R45:AB45"/>
    <mergeCell ref="A40:F40"/>
    <mergeCell ref="H40:AJ40"/>
    <mergeCell ref="A48:AJ48"/>
    <mergeCell ref="A46:AJ46"/>
    <mergeCell ref="A47:AJ47"/>
    <mergeCell ref="I43:Q43"/>
    <mergeCell ref="I44:Q44"/>
    <mergeCell ref="I45:Q45"/>
    <mergeCell ref="A45:H45"/>
    <mergeCell ref="AC45:AJ45"/>
    <mergeCell ref="F15:U15"/>
    <mergeCell ref="AC43:AJ43"/>
    <mergeCell ref="AC44:AJ44"/>
    <mergeCell ref="AG28:AH28"/>
    <mergeCell ref="AG29:AH29"/>
    <mergeCell ref="A41:AJ41"/>
    <mergeCell ref="A42:H42"/>
    <mergeCell ref="A43:H43"/>
    <mergeCell ref="A44:H44"/>
    <mergeCell ref="R42:AB42"/>
    <mergeCell ref="R43:AB43"/>
    <mergeCell ref="R44:AB44"/>
  </mergeCells>
  <printOptions horizontalCentered="1"/>
  <pageMargins left="0.59055118110236227" right="0.19685039370078741" top="0" bottom="0" header="0" footer="0.59055118110236227"/>
  <pageSetup orientation="portrait" copies="2" r:id="rId1"/>
  <headerFooter scaleWithDoc="0">
    <oddHeader xml:space="preserve">&amp;L&amp;"Eurostile Extended,Regular Negrita"&amp;16
</oddHeader>
    <oddFooter>&amp;L&amp;6Calle 26 No. 57-41 Torre 8 Pisos 7-8 CEMSA - CP: 1113111            
Pbx: 3779555  - Información: Línea 195     
www.umv.gov.co111311&amp;C&amp;6PRO-FM-023
Página 1 de 1</oddFooter>
  </headerFooter>
  <ignoredErrors>
    <ignoredError sqref="M7:O7" unlocked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firmas!$A$2:$A$26</xm:f>
          </x14:formula1>
          <xm:sqref>I44:Q44</xm:sqref>
        </x14:dataValidation>
        <x14:dataValidation type="list" allowBlank="1" showInputMessage="1" showErrorMessage="1">
          <x14:formula1>
            <xm:f>firmas!$A$28:$A$31</xm:f>
          </x14:formula1>
          <xm:sqref>R44:AB44</xm:sqref>
        </x14:dataValidation>
        <x14:dataValidation type="list" allowBlank="1" showInputMessage="1" showErrorMessage="1">
          <x14:formula1>
            <xm:f>firmas!$A$33:$A$35</xm:f>
          </x14:formula1>
          <xm:sqref>AC44:AJ44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GL27"/>
  <sheetViews>
    <sheetView showGridLines="0" view="pageBreakPreview" topLeftCell="A16" zoomScaleNormal="120" zoomScaleSheetLayoutView="100" zoomScalePageLayoutView="70" workbookViewId="0">
      <selection activeCell="F48" sqref="C48:G48"/>
    </sheetView>
  </sheetViews>
  <sheetFormatPr baseColWidth="10" defaultRowHeight="12.75"/>
  <cols>
    <col min="1" max="1" width="11.42578125" style="132" customWidth="1"/>
    <col min="2" max="2" width="4.7109375" style="132" customWidth="1"/>
    <col min="3" max="3" width="6" style="132" customWidth="1"/>
    <col min="4" max="4" width="11.5703125" style="132" customWidth="1"/>
    <col min="5" max="5" width="12.28515625" style="132" customWidth="1"/>
    <col min="6" max="6" width="7.42578125" style="132" customWidth="1"/>
    <col min="7" max="7" width="4.85546875" style="132" customWidth="1"/>
    <col min="8" max="8" width="12.7109375" style="132" customWidth="1"/>
    <col min="9" max="9" width="6.7109375" style="132" customWidth="1"/>
    <col min="10" max="11" width="9.7109375" style="132" customWidth="1"/>
    <col min="12" max="194" width="11.42578125" style="132"/>
    <col min="195" max="195" width="1.85546875" style="132" customWidth="1"/>
    <col min="196" max="196" width="13.5703125" style="132" customWidth="1"/>
    <col min="197" max="197" width="10.140625" style="132" customWidth="1"/>
    <col min="198" max="202" width="9.7109375" style="132" customWidth="1"/>
    <col min="203" max="203" width="10.42578125" style="132" customWidth="1"/>
    <col min="204" max="204" width="10.140625" style="132" customWidth="1"/>
    <col min="205" max="205" width="1.140625" style="132" customWidth="1"/>
    <col min="206" max="206" width="18.7109375" style="132" customWidth="1"/>
    <col min="207" max="207" width="20.140625" style="132" customWidth="1"/>
    <col min="208" max="450" width="11.42578125" style="132"/>
    <col min="451" max="451" width="1.85546875" style="132" customWidth="1"/>
    <col min="452" max="452" width="13.5703125" style="132" customWidth="1"/>
    <col min="453" max="453" width="10.140625" style="132" customWidth="1"/>
    <col min="454" max="458" width="9.7109375" style="132" customWidth="1"/>
    <col min="459" max="459" width="10.42578125" style="132" customWidth="1"/>
    <col min="460" max="460" width="10.140625" style="132" customWidth="1"/>
    <col min="461" max="461" width="1.140625" style="132" customWidth="1"/>
    <col min="462" max="462" width="18.7109375" style="132" customWidth="1"/>
    <col min="463" max="463" width="20.140625" style="132" customWidth="1"/>
    <col min="464" max="706" width="11.42578125" style="132"/>
    <col min="707" max="707" width="1.85546875" style="132" customWidth="1"/>
    <col min="708" max="708" width="13.5703125" style="132" customWidth="1"/>
    <col min="709" max="709" width="10.140625" style="132" customWidth="1"/>
    <col min="710" max="714" width="9.7109375" style="132" customWidth="1"/>
    <col min="715" max="715" width="10.42578125" style="132" customWidth="1"/>
    <col min="716" max="716" width="10.140625" style="132" customWidth="1"/>
    <col min="717" max="717" width="1.140625" style="132" customWidth="1"/>
    <col min="718" max="718" width="18.7109375" style="132" customWidth="1"/>
    <col min="719" max="719" width="20.140625" style="132" customWidth="1"/>
    <col min="720" max="962" width="11.42578125" style="132"/>
    <col min="963" max="963" width="1.85546875" style="132" customWidth="1"/>
    <col min="964" max="964" width="13.5703125" style="132" customWidth="1"/>
    <col min="965" max="965" width="10.140625" style="132" customWidth="1"/>
    <col min="966" max="970" width="9.7109375" style="132" customWidth="1"/>
    <col min="971" max="971" width="10.42578125" style="132" customWidth="1"/>
    <col min="972" max="972" width="10.140625" style="132" customWidth="1"/>
    <col min="973" max="973" width="1.140625" style="132" customWidth="1"/>
    <col min="974" max="974" width="18.7109375" style="132" customWidth="1"/>
    <col min="975" max="975" width="20.140625" style="132" customWidth="1"/>
    <col min="976" max="1218" width="11.42578125" style="132"/>
    <col min="1219" max="1219" width="1.85546875" style="132" customWidth="1"/>
    <col min="1220" max="1220" width="13.5703125" style="132" customWidth="1"/>
    <col min="1221" max="1221" width="10.140625" style="132" customWidth="1"/>
    <col min="1222" max="1226" width="9.7109375" style="132" customWidth="1"/>
    <col min="1227" max="1227" width="10.42578125" style="132" customWidth="1"/>
    <col min="1228" max="1228" width="10.140625" style="132" customWidth="1"/>
    <col min="1229" max="1229" width="1.140625" style="132" customWidth="1"/>
    <col min="1230" max="1230" width="18.7109375" style="132" customWidth="1"/>
    <col min="1231" max="1231" width="20.140625" style="132" customWidth="1"/>
    <col min="1232" max="1474" width="11.42578125" style="132"/>
    <col min="1475" max="1475" width="1.85546875" style="132" customWidth="1"/>
    <col min="1476" max="1476" width="13.5703125" style="132" customWidth="1"/>
    <col min="1477" max="1477" width="10.140625" style="132" customWidth="1"/>
    <col min="1478" max="1482" width="9.7109375" style="132" customWidth="1"/>
    <col min="1483" max="1483" width="10.42578125" style="132" customWidth="1"/>
    <col min="1484" max="1484" width="10.140625" style="132" customWidth="1"/>
    <col min="1485" max="1485" width="1.140625" style="132" customWidth="1"/>
    <col min="1486" max="1486" width="18.7109375" style="132" customWidth="1"/>
    <col min="1487" max="1487" width="20.140625" style="132" customWidth="1"/>
    <col min="1488" max="1730" width="11.42578125" style="132"/>
    <col min="1731" max="1731" width="1.85546875" style="132" customWidth="1"/>
    <col min="1732" max="1732" width="13.5703125" style="132" customWidth="1"/>
    <col min="1733" max="1733" width="10.140625" style="132" customWidth="1"/>
    <col min="1734" max="1738" width="9.7109375" style="132" customWidth="1"/>
    <col min="1739" max="1739" width="10.42578125" style="132" customWidth="1"/>
    <col min="1740" max="1740" width="10.140625" style="132" customWidth="1"/>
    <col min="1741" max="1741" width="1.140625" style="132" customWidth="1"/>
    <col min="1742" max="1742" width="18.7109375" style="132" customWidth="1"/>
    <col min="1743" max="1743" width="20.140625" style="132" customWidth="1"/>
    <col min="1744" max="1986" width="11.42578125" style="132"/>
    <col min="1987" max="1987" width="1.85546875" style="132" customWidth="1"/>
    <col min="1988" max="1988" width="13.5703125" style="132" customWidth="1"/>
    <col min="1989" max="1989" width="10.140625" style="132" customWidth="1"/>
    <col min="1990" max="1994" width="9.7109375" style="132" customWidth="1"/>
    <col min="1995" max="1995" width="10.42578125" style="132" customWidth="1"/>
    <col min="1996" max="1996" width="10.140625" style="132" customWidth="1"/>
    <col min="1997" max="1997" width="1.140625" style="132" customWidth="1"/>
    <col min="1998" max="1998" width="18.7109375" style="132" customWidth="1"/>
    <col min="1999" max="1999" width="20.140625" style="132" customWidth="1"/>
    <col min="2000" max="2242" width="11.42578125" style="132"/>
    <col min="2243" max="2243" width="1.85546875" style="132" customWidth="1"/>
    <col min="2244" max="2244" width="13.5703125" style="132" customWidth="1"/>
    <col min="2245" max="2245" width="10.140625" style="132" customWidth="1"/>
    <col min="2246" max="2250" width="9.7109375" style="132" customWidth="1"/>
    <col min="2251" max="2251" width="10.42578125" style="132" customWidth="1"/>
    <col min="2252" max="2252" width="10.140625" style="132" customWidth="1"/>
    <col min="2253" max="2253" width="1.140625" style="132" customWidth="1"/>
    <col min="2254" max="2254" width="18.7109375" style="132" customWidth="1"/>
    <col min="2255" max="2255" width="20.140625" style="132" customWidth="1"/>
    <col min="2256" max="2498" width="11.42578125" style="132"/>
    <col min="2499" max="2499" width="1.85546875" style="132" customWidth="1"/>
    <col min="2500" max="2500" width="13.5703125" style="132" customWidth="1"/>
    <col min="2501" max="2501" width="10.140625" style="132" customWidth="1"/>
    <col min="2502" max="2506" width="9.7109375" style="132" customWidth="1"/>
    <col min="2507" max="2507" width="10.42578125" style="132" customWidth="1"/>
    <col min="2508" max="2508" width="10.140625" style="132" customWidth="1"/>
    <col min="2509" max="2509" width="1.140625" style="132" customWidth="1"/>
    <col min="2510" max="2510" width="18.7109375" style="132" customWidth="1"/>
    <col min="2511" max="2511" width="20.140625" style="132" customWidth="1"/>
    <col min="2512" max="2754" width="11.42578125" style="132"/>
    <col min="2755" max="2755" width="1.85546875" style="132" customWidth="1"/>
    <col min="2756" max="2756" width="13.5703125" style="132" customWidth="1"/>
    <col min="2757" max="2757" width="10.140625" style="132" customWidth="1"/>
    <col min="2758" max="2762" width="9.7109375" style="132" customWidth="1"/>
    <col min="2763" max="2763" width="10.42578125" style="132" customWidth="1"/>
    <col min="2764" max="2764" width="10.140625" style="132" customWidth="1"/>
    <col min="2765" max="2765" width="1.140625" style="132" customWidth="1"/>
    <col min="2766" max="2766" width="18.7109375" style="132" customWidth="1"/>
    <col min="2767" max="2767" width="20.140625" style="132" customWidth="1"/>
    <col min="2768" max="3010" width="11.42578125" style="132"/>
    <col min="3011" max="3011" width="1.85546875" style="132" customWidth="1"/>
    <col min="3012" max="3012" width="13.5703125" style="132" customWidth="1"/>
    <col min="3013" max="3013" width="10.140625" style="132" customWidth="1"/>
    <col min="3014" max="3018" width="9.7109375" style="132" customWidth="1"/>
    <col min="3019" max="3019" width="10.42578125" style="132" customWidth="1"/>
    <col min="3020" max="3020" width="10.140625" style="132" customWidth="1"/>
    <col min="3021" max="3021" width="1.140625" style="132" customWidth="1"/>
    <col min="3022" max="3022" width="18.7109375" style="132" customWidth="1"/>
    <col min="3023" max="3023" width="20.140625" style="132" customWidth="1"/>
    <col min="3024" max="3266" width="11.42578125" style="132"/>
    <col min="3267" max="3267" width="1.85546875" style="132" customWidth="1"/>
    <col min="3268" max="3268" width="13.5703125" style="132" customWidth="1"/>
    <col min="3269" max="3269" width="10.140625" style="132" customWidth="1"/>
    <col min="3270" max="3274" width="9.7109375" style="132" customWidth="1"/>
    <col min="3275" max="3275" width="10.42578125" style="132" customWidth="1"/>
    <col min="3276" max="3276" width="10.140625" style="132" customWidth="1"/>
    <col min="3277" max="3277" width="1.140625" style="132" customWidth="1"/>
    <col min="3278" max="3278" width="18.7109375" style="132" customWidth="1"/>
    <col min="3279" max="3279" width="20.140625" style="132" customWidth="1"/>
    <col min="3280" max="3522" width="11.42578125" style="132"/>
    <col min="3523" max="3523" width="1.85546875" style="132" customWidth="1"/>
    <col min="3524" max="3524" width="13.5703125" style="132" customWidth="1"/>
    <col min="3525" max="3525" width="10.140625" style="132" customWidth="1"/>
    <col min="3526" max="3530" width="9.7109375" style="132" customWidth="1"/>
    <col min="3531" max="3531" width="10.42578125" style="132" customWidth="1"/>
    <col min="3532" max="3532" width="10.140625" style="132" customWidth="1"/>
    <col min="3533" max="3533" width="1.140625" style="132" customWidth="1"/>
    <col min="3534" max="3534" width="18.7109375" style="132" customWidth="1"/>
    <col min="3535" max="3535" width="20.140625" style="132" customWidth="1"/>
    <col min="3536" max="3778" width="11.42578125" style="132"/>
    <col min="3779" max="3779" width="1.85546875" style="132" customWidth="1"/>
    <col min="3780" max="3780" width="13.5703125" style="132" customWidth="1"/>
    <col min="3781" max="3781" width="10.140625" style="132" customWidth="1"/>
    <col min="3782" max="3786" width="9.7109375" style="132" customWidth="1"/>
    <col min="3787" max="3787" width="10.42578125" style="132" customWidth="1"/>
    <col min="3788" max="3788" width="10.140625" style="132" customWidth="1"/>
    <col min="3789" max="3789" width="1.140625" style="132" customWidth="1"/>
    <col min="3790" max="3790" width="18.7109375" style="132" customWidth="1"/>
    <col min="3791" max="3791" width="20.140625" style="132" customWidth="1"/>
    <col min="3792" max="4034" width="11.42578125" style="132"/>
    <col min="4035" max="4035" width="1.85546875" style="132" customWidth="1"/>
    <col min="4036" max="4036" width="13.5703125" style="132" customWidth="1"/>
    <col min="4037" max="4037" width="10.140625" style="132" customWidth="1"/>
    <col min="4038" max="4042" width="9.7109375" style="132" customWidth="1"/>
    <col min="4043" max="4043" width="10.42578125" style="132" customWidth="1"/>
    <col min="4044" max="4044" width="10.140625" style="132" customWidth="1"/>
    <col min="4045" max="4045" width="1.140625" style="132" customWidth="1"/>
    <col min="4046" max="4046" width="18.7109375" style="132" customWidth="1"/>
    <col min="4047" max="4047" width="20.140625" style="132" customWidth="1"/>
    <col min="4048" max="4290" width="11.42578125" style="132"/>
    <col min="4291" max="4291" width="1.85546875" style="132" customWidth="1"/>
    <col min="4292" max="4292" width="13.5703125" style="132" customWidth="1"/>
    <col min="4293" max="4293" width="10.140625" style="132" customWidth="1"/>
    <col min="4294" max="4298" width="9.7109375" style="132" customWidth="1"/>
    <col min="4299" max="4299" width="10.42578125" style="132" customWidth="1"/>
    <col min="4300" max="4300" width="10.140625" style="132" customWidth="1"/>
    <col min="4301" max="4301" width="1.140625" style="132" customWidth="1"/>
    <col min="4302" max="4302" width="18.7109375" style="132" customWidth="1"/>
    <col min="4303" max="4303" width="20.140625" style="132" customWidth="1"/>
    <col min="4304" max="4546" width="11.42578125" style="132"/>
    <col min="4547" max="4547" width="1.85546875" style="132" customWidth="1"/>
    <col min="4548" max="4548" width="13.5703125" style="132" customWidth="1"/>
    <col min="4549" max="4549" width="10.140625" style="132" customWidth="1"/>
    <col min="4550" max="4554" width="9.7109375" style="132" customWidth="1"/>
    <col min="4555" max="4555" width="10.42578125" style="132" customWidth="1"/>
    <col min="4556" max="4556" width="10.140625" style="132" customWidth="1"/>
    <col min="4557" max="4557" width="1.140625" style="132" customWidth="1"/>
    <col min="4558" max="4558" width="18.7109375" style="132" customWidth="1"/>
    <col min="4559" max="4559" width="20.140625" style="132" customWidth="1"/>
    <col min="4560" max="4802" width="11.42578125" style="132"/>
    <col min="4803" max="4803" width="1.85546875" style="132" customWidth="1"/>
    <col min="4804" max="4804" width="13.5703125" style="132" customWidth="1"/>
    <col min="4805" max="4805" width="10.140625" style="132" customWidth="1"/>
    <col min="4806" max="4810" width="9.7109375" style="132" customWidth="1"/>
    <col min="4811" max="4811" width="10.42578125" style="132" customWidth="1"/>
    <col min="4812" max="4812" width="10.140625" style="132" customWidth="1"/>
    <col min="4813" max="4813" width="1.140625" style="132" customWidth="1"/>
    <col min="4814" max="4814" width="18.7109375" style="132" customWidth="1"/>
    <col min="4815" max="4815" width="20.140625" style="132" customWidth="1"/>
    <col min="4816" max="5058" width="11.42578125" style="132"/>
    <col min="5059" max="5059" width="1.85546875" style="132" customWidth="1"/>
    <col min="5060" max="5060" width="13.5703125" style="132" customWidth="1"/>
    <col min="5061" max="5061" width="10.140625" style="132" customWidth="1"/>
    <col min="5062" max="5066" width="9.7109375" style="132" customWidth="1"/>
    <col min="5067" max="5067" width="10.42578125" style="132" customWidth="1"/>
    <col min="5068" max="5068" width="10.140625" style="132" customWidth="1"/>
    <col min="5069" max="5069" width="1.140625" style="132" customWidth="1"/>
    <col min="5070" max="5070" width="18.7109375" style="132" customWidth="1"/>
    <col min="5071" max="5071" width="20.140625" style="132" customWidth="1"/>
    <col min="5072" max="5314" width="11.42578125" style="132"/>
    <col min="5315" max="5315" width="1.85546875" style="132" customWidth="1"/>
    <col min="5316" max="5316" width="13.5703125" style="132" customWidth="1"/>
    <col min="5317" max="5317" width="10.140625" style="132" customWidth="1"/>
    <col min="5318" max="5322" width="9.7109375" style="132" customWidth="1"/>
    <col min="5323" max="5323" width="10.42578125" style="132" customWidth="1"/>
    <col min="5324" max="5324" width="10.140625" style="132" customWidth="1"/>
    <col min="5325" max="5325" width="1.140625" style="132" customWidth="1"/>
    <col min="5326" max="5326" width="18.7109375" style="132" customWidth="1"/>
    <col min="5327" max="5327" width="20.140625" style="132" customWidth="1"/>
    <col min="5328" max="5570" width="11.42578125" style="132"/>
    <col min="5571" max="5571" width="1.85546875" style="132" customWidth="1"/>
    <col min="5572" max="5572" width="13.5703125" style="132" customWidth="1"/>
    <col min="5573" max="5573" width="10.140625" style="132" customWidth="1"/>
    <col min="5574" max="5578" width="9.7109375" style="132" customWidth="1"/>
    <col min="5579" max="5579" width="10.42578125" style="132" customWidth="1"/>
    <col min="5580" max="5580" width="10.140625" style="132" customWidth="1"/>
    <col min="5581" max="5581" width="1.140625" style="132" customWidth="1"/>
    <col min="5582" max="5582" width="18.7109375" style="132" customWidth="1"/>
    <col min="5583" max="5583" width="20.140625" style="132" customWidth="1"/>
    <col min="5584" max="5826" width="11.42578125" style="132"/>
    <col min="5827" max="5827" width="1.85546875" style="132" customWidth="1"/>
    <col min="5828" max="5828" width="13.5703125" style="132" customWidth="1"/>
    <col min="5829" max="5829" width="10.140625" style="132" customWidth="1"/>
    <col min="5830" max="5834" width="9.7109375" style="132" customWidth="1"/>
    <col min="5835" max="5835" width="10.42578125" style="132" customWidth="1"/>
    <col min="5836" max="5836" width="10.140625" style="132" customWidth="1"/>
    <col min="5837" max="5837" width="1.140625" style="132" customWidth="1"/>
    <col min="5838" max="5838" width="18.7109375" style="132" customWidth="1"/>
    <col min="5839" max="5839" width="20.140625" style="132" customWidth="1"/>
    <col min="5840" max="6082" width="11.42578125" style="132"/>
    <col min="6083" max="6083" width="1.85546875" style="132" customWidth="1"/>
    <col min="6084" max="6084" width="13.5703125" style="132" customWidth="1"/>
    <col min="6085" max="6085" width="10.140625" style="132" customWidth="1"/>
    <col min="6086" max="6090" width="9.7109375" style="132" customWidth="1"/>
    <col min="6091" max="6091" width="10.42578125" style="132" customWidth="1"/>
    <col min="6092" max="6092" width="10.140625" style="132" customWidth="1"/>
    <col min="6093" max="6093" width="1.140625" style="132" customWidth="1"/>
    <col min="6094" max="6094" width="18.7109375" style="132" customWidth="1"/>
    <col min="6095" max="6095" width="20.140625" style="132" customWidth="1"/>
    <col min="6096" max="6338" width="11.42578125" style="132"/>
    <col min="6339" max="6339" width="1.85546875" style="132" customWidth="1"/>
    <col min="6340" max="6340" width="13.5703125" style="132" customWidth="1"/>
    <col min="6341" max="6341" width="10.140625" style="132" customWidth="1"/>
    <col min="6342" max="6346" width="9.7109375" style="132" customWidth="1"/>
    <col min="6347" max="6347" width="10.42578125" style="132" customWidth="1"/>
    <col min="6348" max="6348" width="10.140625" style="132" customWidth="1"/>
    <col min="6349" max="6349" width="1.140625" style="132" customWidth="1"/>
    <col min="6350" max="6350" width="18.7109375" style="132" customWidth="1"/>
    <col min="6351" max="6351" width="20.140625" style="132" customWidth="1"/>
    <col min="6352" max="6594" width="11.42578125" style="132"/>
    <col min="6595" max="6595" width="1.85546875" style="132" customWidth="1"/>
    <col min="6596" max="6596" width="13.5703125" style="132" customWidth="1"/>
    <col min="6597" max="6597" width="10.140625" style="132" customWidth="1"/>
    <col min="6598" max="6602" width="9.7109375" style="132" customWidth="1"/>
    <col min="6603" max="6603" width="10.42578125" style="132" customWidth="1"/>
    <col min="6604" max="6604" width="10.140625" style="132" customWidth="1"/>
    <col min="6605" max="6605" width="1.140625" style="132" customWidth="1"/>
    <col min="6606" max="6606" width="18.7109375" style="132" customWidth="1"/>
    <col min="6607" max="6607" width="20.140625" style="132" customWidth="1"/>
    <col min="6608" max="6850" width="11.42578125" style="132"/>
    <col min="6851" max="6851" width="1.85546875" style="132" customWidth="1"/>
    <col min="6852" max="6852" width="13.5703125" style="132" customWidth="1"/>
    <col min="6853" max="6853" width="10.140625" style="132" customWidth="1"/>
    <col min="6854" max="6858" width="9.7109375" style="132" customWidth="1"/>
    <col min="6859" max="6859" width="10.42578125" style="132" customWidth="1"/>
    <col min="6860" max="6860" width="10.140625" style="132" customWidth="1"/>
    <col min="6861" max="6861" width="1.140625" style="132" customWidth="1"/>
    <col min="6862" max="6862" width="18.7109375" style="132" customWidth="1"/>
    <col min="6863" max="6863" width="20.140625" style="132" customWidth="1"/>
    <col min="6864" max="7106" width="11.42578125" style="132"/>
    <col min="7107" max="7107" width="1.85546875" style="132" customWidth="1"/>
    <col min="7108" max="7108" width="13.5703125" style="132" customWidth="1"/>
    <col min="7109" max="7109" width="10.140625" style="132" customWidth="1"/>
    <col min="7110" max="7114" width="9.7109375" style="132" customWidth="1"/>
    <col min="7115" max="7115" width="10.42578125" style="132" customWidth="1"/>
    <col min="7116" max="7116" width="10.140625" style="132" customWidth="1"/>
    <col min="7117" max="7117" width="1.140625" style="132" customWidth="1"/>
    <col min="7118" max="7118" width="18.7109375" style="132" customWidth="1"/>
    <col min="7119" max="7119" width="20.140625" style="132" customWidth="1"/>
    <col min="7120" max="7362" width="11.42578125" style="132"/>
    <col min="7363" max="7363" width="1.85546875" style="132" customWidth="1"/>
    <col min="7364" max="7364" width="13.5703125" style="132" customWidth="1"/>
    <col min="7365" max="7365" width="10.140625" style="132" customWidth="1"/>
    <col min="7366" max="7370" width="9.7109375" style="132" customWidth="1"/>
    <col min="7371" max="7371" width="10.42578125" style="132" customWidth="1"/>
    <col min="7372" max="7372" width="10.140625" style="132" customWidth="1"/>
    <col min="7373" max="7373" width="1.140625" style="132" customWidth="1"/>
    <col min="7374" max="7374" width="18.7109375" style="132" customWidth="1"/>
    <col min="7375" max="7375" width="20.140625" style="132" customWidth="1"/>
    <col min="7376" max="7618" width="11.42578125" style="132"/>
    <col min="7619" max="7619" width="1.85546875" style="132" customWidth="1"/>
    <col min="7620" max="7620" width="13.5703125" style="132" customWidth="1"/>
    <col min="7621" max="7621" width="10.140625" style="132" customWidth="1"/>
    <col min="7622" max="7626" width="9.7109375" style="132" customWidth="1"/>
    <col min="7627" max="7627" width="10.42578125" style="132" customWidth="1"/>
    <col min="7628" max="7628" width="10.140625" style="132" customWidth="1"/>
    <col min="7629" max="7629" width="1.140625" style="132" customWidth="1"/>
    <col min="7630" max="7630" width="18.7109375" style="132" customWidth="1"/>
    <col min="7631" max="7631" width="20.140625" style="132" customWidth="1"/>
    <col min="7632" max="7874" width="11.42578125" style="132"/>
    <col min="7875" max="7875" width="1.85546875" style="132" customWidth="1"/>
    <col min="7876" max="7876" width="13.5703125" style="132" customWidth="1"/>
    <col min="7877" max="7877" width="10.140625" style="132" customWidth="1"/>
    <col min="7878" max="7882" width="9.7109375" style="132" customWidth="1"/>
    <col min="7883" max="7883" width="10.42578125" style="132" customWidth="1"/>
    <col min="7884" max="7884" width="10.140625" style="132" customWidth="1"/>
    <col min="7885" max="7885" width="1.140625" style="132" customWidth="1"/>
    <col min="7886" max="7886" width="18.7109375" style="132" customWidth="1"/>
    <col min="7887" max="7887" width="20.140625" style="132" customWidth="1"/>
    <col min="7888" max="8130" width="11.42578125" style="132"/>
    <col min="8131" max="8131" width="1.85546875" style="132" customWidth="1"/>
    <col min="8132" max="8132" width="13.5703125" style="132" customWidth="1"/>
    <col min="8133" max="8133" width="10.140625" style="132" customWidth="1"/>
    <col min="8134" max="8138" width="9.7109375" style="132" customWidth="1"/>
    <col min="8139" max="8139" width="10.42578125" style="132" customWidth="1"/>
    <col min="8140" max="8140" width="10.140625" style="132" customWidth="1"/>
    <col min="8141" max="8141" width="1.140625" style="132" customWidth="1"/>
    <col min="8142" max="8142" width="18.7109375" style="132" customWidth="1"/>
    <col min="8143" max="8143" width="20.140625" style="132" customWidth="1"/>
    <col min="8144" max="8386" width="11.42578125" style="132"/>
    <col min="8387" max="8387" width="1.85546875" style="132" customWidth="1"/>
    <col min="8388" max="8388" width="13.5703125" style="132" customWidth="1"/>
    <col min="8389" max="8389" width="10.140625" style="132" customWidth="1"/>
    <col min="8390" max="8394" width="9.7109375" style="132" customWidth="1"/>
    <col min="8395" max="8395" width="10.42578125" style="132" customWidth="1"/>
    <col min="8396" max="8396" width="10.140625" style="132" customWidth="1"/>
    <col min="8397" max="8397" width="1.140625" style="132" customWidth="1"/>
    <col min="8398" max="8398" width="18.7109375" style="132" customWidth="1"/>
    <col min="8399" max="8399" width="20.140625" style="132" customWidth="1"/>
    <col min="8400" max="8642" width="11.42578125" style="132"/>
    <col min="8643" max="8643" width="1.85546875" style="132" customWidth="1"/>
    <col min="8644" max="8644" width="13.5703125" style="132" customWidth="1"/>
    <col min="8645" max="8645" width="10.140625" style="132" customWidth="1"/>
    <col min="8646" max="8650" width="9.7109375" style="132" customWidth="1"/>
    <col min="8651" max="8651" width="10.42578125" style="132" customWidth="1"/>
    <col min="8652" max="8652" width="10.140625" style="132" customWidth="1"/>
    <col min="8653" max="8653" width="1.140625" style="132" customWidth="1"/>
    <col min="8654" max="8654" width="18.7109375" style="132" customWidth="1"/>
    <col min="8655" max="8655" width="20.140625" style="132" customWidth="1"/>
    <col min="8656" max="8898" width="11.42578125" style="132"/>
    <col min="8899" max="8899" width="1.85546875" style="132" customWidth="1"/>
    <col min="8900" max="8900" width="13.5703125" style="132" customWidth="1"/>
    <col min="8901" max="8901" width="10.140625" style="132" customWidth="1"/>
    <col min="8902" max="8906" width="9.7109375" style="132" customWidth="1"/>
    <col min="8907" max="8907" width="10.42578125" style="132" customWidth="1"/>
    <col min="8908" max="8908" width="10.140625" style="132" customWidth="1"/>
    <col min="8909" max="8909" width="1.140625" style="132" customWidth="1"/>
    <col min="8910" max="8910" width="18.7109375" style="132" customWidth="1"/>
    <col min="8911" max="8911" width="20.140625" style="132" customWidth="1"/>
    <col min="8912" max="9154" width="11.42578125" style="132"/>
    <col min="9155" max="9155" width="1.85546875" style="132" customWidth="1"/>
    <col min="9156" max="9156" width="13.5703125" style="132" customWidth="1"/>
    <col min="9157" max="9157" width="10.140625" style="132" customWidth="1"/>
    <col min="9158" max="9162" width="9.7109375" style="132" customWidth="1"/>
    <col min="9163" max="9163" width="10.42578125" style="132" customWidth="1"/>
    <col min="9164" max="9164" width="10.140625" style="132" customWidth="1"/>
    <col min="9165" max="9165" width="1.140625" style="132" customWidth="1"/>
    <col min="9166" max="9166" width="18.7109375" style="132" customWidth="1"/>
    <col min="9167" max="9167" width="20.140625" style="132" customWidth="1"/>
    <col min="9168" max="9410" width="11.42578125" style="132"/>
    <col min="9411" max="9411" width="1.85546875" style="132" customWidth="1"/>
    <col min="9412" max="9412" width="13.5703125" style="132" customWidth="1"/>
    <col min="9413" max="9413" width="10.140625" style="132" customWidth="1"/>
    <col min="9414" max="9418" width="9.7109375" style="132" customWidth="1"/>
    <col min="9419" max="9419" width="10.42578125" style="132" customWidth="1"/>
    <col min="9420" max="9420" width="10.140625" style="132" customWidth="1"/>
    <col min="9421" max="9421" width="1.140625" style="132" customWidth="1"/>
    <col min="9422" max="9422" width="18.7109375" style="132" customWidth="1"/>
    <col min="9423" max="9423" width="20.140625" style="132" customWidth="1"/>
    <col min="9424" max="9666" width="11.42578125" style="132"/>
    <col min="9667" max="9667" width="1.85546875" style="132" customWidth="1"/>
    <col min="9668" max="9668" width="13.5703125" style="132" customWidth="1"/>
    <col min="9669" max="9669" width="10.140625" style="132" customWidth="1"/>
    <col min="9670" max="9674" width="9.7109375" style="132" customWidth="1"/>
    <col min="9675" max="9675" width="10.42578125" style="132" customWidth="1"/>
    <col min="9676" max="9676" width="10.140625" style="132" customWidth="1"/>
    <col min="9677" max="9677" width="1.140625" style="132" customWidth="1"/>
    <col min="9678" max="9678" width="18.7109375" style="132" customWidth="1"/>
    <col min="9679" max="9679" width="20.140625" style="132" customWidth="1"/>
    <col min="9680" max="9922" width="11.42578125" style="132"/>
    <col min="9923" max="9923" width="1.85546875" style="132" customWidth="1"/>
    <col min="9924" max="9924" width="13.5703125" style="132" customWidth="1"/>
    <col min="9925" max="9925" width="10.140625" style="132" customWidth="1"/>
    <col min="9926" max="9930" width="9.7109375" style="132" customWidth="1"/>
    <col min="9931" max="9931" width="10.42578125" style="132" customWidth="1"/>
    <col min="9932" max="9932" width="10.140625" style="132" customWidth="1"/>
    <col min="9933" max="9933" width="1.140625" style="132" customWidth="1"/>
    <col min="9934" max="9934" width="18.7109375" style="132" customWidth="1"/>
    <col min="9935" max="9935" width="20.140625" style="132" customWidth="1"/>
    <col min="9936" max="10178" width="11.42578125" style="132"/>
    <col min="10179" max="10179" width="1.85546875" style="132" customWidth="1"/>
    <col min="10180" max="10180" width="13.5703125" style="132" customWidth="1"/>
    <col min="10181" max="10181" width="10.140625" style="132" customWidth="1"/>
    <col min="10182" max="10186" width="9.7109375" style="132" customWidth="1"/>
    <col min="10187" max="10187" width="10.42578125" style="132" customWidth="1"/>
    <col min="10188" max="10188" width="10.140625" style="132" customWidth="1"/>
    <col min="10189" max="10189" width="1.140625" style="132" customWidth="1"/>
    <col min="10190" max="10190" width="18.7109375" style="132" customWidth="1"/>
    <col min="10191" max="10191" width="20.140625" style="132" customWidth="1"/>
    <col min="10192" max="10434" width="11.42578125" style="132"/>
    <col min="10435" max="10435" width="1.85546875" style="132" customWidth="1"/>
    <col min="10436" max="10436" width="13.5703125" style="132" customWidth="1"/>
    <col min="10437" max="10437" width="10.140625" style="132" customWidth="1"/>
    <col min="10438" max="10442" width="9.7109375" style="132" customWidth="1"/>
    <col min="10443" max="10443" width="10.42578125" style="132" customWidth="1"/>
    <col min="10444" max="10444" width="10.140625" style="132" customWidth="1"/>
    <col min="10445" max="10445" width="1.140625" style="132" customWidth="1"/>
    <col min="10446" max="10446" width="18.7109375" style="132" customWidth="1"/>
    <col min="10447" max="10447" width="20.140625" style="132" customWidth="1"/>
    <col min="10448" max="10690" width="11.42578125" style="132"/>
    <col min="10691" max="10691" width="1.85546875" style="132" customWidth="1"/>
    <col min="10692" max="10692" width="13.5703125" style="132" customWidth="1"/>
    <col min="10693" max="10693" width="10.140625" style="132" customWidth="1"/>
    <col min="10694" max="10698" width="9.7109375" style="132" customWidth="1"/>
    <col min="10699" max="10699" width="10.42578125" style="132" customWidth="1"/>
    <col min="10700" max="10700" width="10.140625" style="132" customWidth="1"/>
    <col min="10701" max="10701" width="1.140625" style="132" customWidth="1"/>
    <col min="10702" max="10702" width="18.7109375" style="132" customWidth="1"/>
    <col min="10703" max="10703" width="20.140625" style="132" customWidth="1"/>
    <col min="10704" max="10946" width="11.42578125" style="132"/>
    <col min="10947" max="10947" width="1.85546875" style="132" customWidth="1"/>
    <col min="10948" max="10948" width="13.5703125" style="132" customWidth="1"/>
    <col min="10949" max="10949" width="10.140625" style="132" customWidth="1"/>
    <col min="10950" max="10954" width="9.7109375" style="132" customWidth="1"/>
    <col min="10955" max="10955" width="10.42578125" style="132" customWidth="1"/>
    <col min="10956" max="10956" width="10.140625" style="132" customWidth="1"/>
    <col min="10957" max="10957" width="1.140625" style="132" customWidth="1"/>
    <col min="10958" max="10958" width="18.7109375" style="132" customWidth="1"/>
    <col min="10959" max="10959" width="20.140625" style="132" customWidth="1"/>
    <col min="10960" max="11202" width="11.42578125" style="132"/>
    <col min="11203" max="11203" width="1.85546875" style="132" customWidth="1"/>
    <col min="11204" max="11204" width="13.5703125" style="132" customWidth="1"/>
    <col min="11205" max="11205" width="10.140625" style="132" customWidth="1"/>
    <col min="11206" max="11210" width="9.7109375" style="132" customWidth="1"/>
    <col min="11211" max="11211" width="10.42578125" style="132" customWidth="1"/>
    <col min="11212" max="11212" width="10.140625" style="132" customWidth="1"/>
    <col min="11213" max="11213" width="1.140625" style="132" customWidth="1"/>
    <col min="11214" max="11214" width="18.7109375" style="132" customWidth="1"/>
    <col min="11215" max="11215" width="20.140625" style="132" customWidth="1"/>
    <col min="11216" max="11458" width="11.42578125" style="132"/>
    <col min="11459" max="11459" width="1.85546875" style="132" customWidth="1"/>
    <col min="11460" max="11460" width="13.5703125" style="132" customWidth="1"/>
    <col min="11461" max="11461" width="10.140625" style="132" customWidth="1"/>
    <col min="11462" max="11466" width="9.7109375" style="132" customWidth="1"/>
    <col min="11467" max="11467" width="10.42578125" style="132" customWidth="1"/>
    <col min="11468" max="11468" width="10.140625" style="132" customWidth="1"/>
    <col min="11469" max="11469" width="1.140625" style="132" customWidth="1"/>
    <col min="11470" max="11470" width="18.7109375" style="132" customWidth="1"/>
    <col min="11471" max="11471" width="20.140625" style="132" customWidth="1"/>
    <col min="11472" max="11714" width="11.42578125" style="132"/>
    <col min="11715" max="11715" width="1.85546875" style="132" customWidth="1"/>
    <col min="11716" max="11716" width="13.5703125" style="132" customWidth="1"/>
    <col min="11717" max="11717" width="10.140625" style="132" customWidth="1"/>
    <col min="11718" max="11722" width="9.7109375" style="132" customWidth="1"/>
    <col min="11723" max="11723" width="10.42578125" style="132" customWidth="1"/>
    <col min="11724" max="11724" width="10.140625" style="132" customWidth="1"/>
    <col min="11725" max="11725" width="1.140625" style="132" customWidth="1"/>
    <col min="11726" max="11726" width="18.7109375" style="132" customWidth="1"/>
    <col min="11727" max="11727" width="20.140625" style="132" customWidth="1"/>
    <col min="11728" max="11970" width="11.42578125" style="132"/>
    <col min="11971" max="11971" width="1.85546875" style="132" customWidth="1"/>
    <col min="11972" max="11972" width="13.5703125" style="132" customWidth="1"/>
    <col min="11973" max="11973" width="10.140625" style="132" customWidth="1"/>
    <col min="11974" max="11978" width="9.7109375" style="132" customWidth="1"/>
    <col min="11979" max="11979" width="10.42578125" style="132" customWidth="1"/>
    <col min="11980" max="11980" width="10.140625" style="132" customWidth="1"/>
    <col min="11981" max="11981" width="1.140625" style="132" customWidth="1"/>
    <col min="11982" max="11982" width="18.7109375" style="132" customWidth="1"/>
    <col min="11983" max="11983" width="20.140625" style="132" customWidth="1"/>
    <col min="11984" max="12226" width="11.42578125" style="132"/>
    <col min="12227" max="12227" width="1.85546875" style="132" customWidth="1"/>
    <col min="12228" max="12228" width="13.5703125" style="132" customWidth="1"/>
    <col min="12229" max="12229" width="10.140625" style="132" customWidth="1"/>
    <col min="12230" max="12234" width="9.7109375" style="132" customWidth="1"/>
    <col min="12235" max="12235" width="10.42578125" style="132" customWidth="1"/>
    <col min="12236" max="12236" width="10.140625" style="132" customWidth="1"/>
    <col min="12237" max="12237" width="1.140625" style="132" customWidth="1"/>
    <col min="12238" max="12238" width="18.7109375" style="132" customWidth="1"/>
    <col min="12239" max="12239" width="20.140625" style="132" customWidth="1"/>
    <col min="12240" max="12482" width="11.42578125" style="132"/>
    <col min="12483" max="12483" width="1.85546875" style="132" customWidth="1"/>
    <col min="12484" max="12484" width="13.5703125" style="132" customWidth="1"/>
    <col min="12485" max="12485" width="10.140625" style="132" customWidth="1"/>
    <col min="12486" max="12490" width="9.7109375" style="132" customWidth="1"/>
    <col min="12491" max="12491" width="10.42578125" style="132" customWidth="1"/>
    <col min="12492" max="12492" width="10.140625" style="132" customWidth="1"/>
    <col min="12493" max="12493" width="1.140625" style="132" customWidth="1"/>
    <col min="12494" max="12494" width="18.7109375" style="132" customWidth="1"/>
    <col min="12495" max="12495" width="20.140625" style="132" customWidth="1"/>
    <col min="12496" max="12738" width="11.42578125" style="132"/>
    <col min="12739" max="12739" width="1.85546875" style="132" customWidth="1"/>
    <col min="12740" max="12740" width="13.5703125" style="132" customWidth="1"/>
    <col min="12741" max="12741" width="10.140625" style="132" customWidth="1"/>
    <col min="12742" max="12746" width="9.7109375" style="132" customWidth="1"/>
    <col min="12747" max="12747" width="10.42578125" style="132" customWidth="1"/>
    <col min="12748" max="12748" width="10.140625" style="132" customWidth="1"/>
    <col min="12749" max="12749" width="1.140625" style="132" customWidth="1"/>
    <col min="12750" max="12750" width="18.7109375" style="132" customWidth="1"/>
    <col min="12751" max="12751" width="20.140625" style="132" customWidth="1"/>
    <col min="12752" max="12994" width="11.42578125" style="132"/>
    <col min="12995" max="12995" width="1.85546875" style="132" customWidth="1"/>
    <col min="12996" max="12996" width="13.5703125" style="132" customWidth="1"/>
    <col min="12997" max="12997" width="10.140625" style="132" customWidth="1"/>
    <col min="12998" max="13002" width="9.7109375" style="132" customWidth="1"/>
    <col min="13003" max="13003" width="10.42578125" style="132" customWidth="1"/>
    <col min="13004" max="13004" width="10.140625" style="132" customWidth="1"/>
    <col min="13005" max="13005" width="1.140625" style="132" customWidth="1"/>
    <col min="13006" max="13006" width="18.7109375" style="132" customWidth="1"/>
    <col min="13007" max="13007" width="20.140625" style="132" customWidth="1"/>
    <col min="13008" max="13250" width="11.42578125" style="132"/>
    <col min="13251" max="13251" width="1.85546875" style="132" customWidth="1"/>
    <col min="13252" max="13252" width="13.5703125" style="132" customWidth="1"/>
    <col min="13253" max="13253" width="10.140625" style="132" customWidth="1"/>
    <col min="13254" max="13258" width="9.7109375" style="132" customWidth="1"/>
    <col min="13259" max="13259" width="10.42578125" style="132" customWidth="1"/>
    <col min="13260" max="13260" width="10.140625" style="132" customWidth="1"/>
    <col min="13261" max="13261" width="1.140625" style="132" customWidth="1"/>
    <col min="13262" max="13262" width="18.7109375" style="132" customWidth="1"/>
    <col min="13263" max="13263" width="20.140625" style="132" customWidth="1"/>
    <col min="13264" max="13506" width="11.42578125" style="132"/>
    <col min="13507" max="13507" width="1.85546875" style="132" customWidth="1"/>
    <col min="13508" max="13508" width="13.5703125" style="132" customWidth="1"/>
    <col min="13509" max="13509" width="10.140625" style="132" customWidth="1"/>
    <col min="13510" max="13514" width="9.7109375" style="132" customWidth="1"/>
    <col min="13515" max="13515" width="10.42578125" style="132" customWidth="1"/>
    <col min="13516" max="13516" width="10.140625" style="132" customWidth="1"/>
    <col min="13517" max="13517" width="1.140625" style="132" customWidth="1"/>
    <col min="13518" max="13518" width="18.7109375" style="132" customWidth="1"/>
    <col min="13519" max="13519" width="20.140625" style="132" customWidth="1"/>
    <col min="13520" max="13762" width="11.42578125" style="132"/>
    <col min="13763" max="13763" width="1.85546875" style="132" customWidth="1"/>
    <col min="13764" max="13764" width="13.5703125" style="132" customWidth="1"/>
    <col min="13765" max="13765" width="10.140625" style="132" customWidth="1"/>
    <col min="13766" max="13770" width="9.7109375" style="132" customWidth="1"/>
    <col min="13771" max="13771" width="10.42578125" style="132" customWidth="1"/>
    <col min="13772" max="13772" width="10.140625" style="132" customWidth="1"/>
    <col min="13773" max="13773" width="1.140625" style="132" customWidth="1"/>
    <col min="13774" max="13774" width="18.7109375" style="132" customWidth="1"/>
    <col min="13775" max="13775" width="20.140625" style="132" customWidth="1"/>
    <col min="13776" max="14018" width="11.42578125" style="132"/>
    <col min="14019" max="14019" width="1.85546875" style="132" customWidth="1"/>
    <col min="14020" max="14020" width="13.5703125" style="132" customWidth="1"/>
    <col min="14021" max="14021" width="10.140625" style="132" customWidth="1"/>
    <col min="14022" max="14026" width="9.7109375" style="132" customWidth="1"/>
    <col min="14027" max="14027" width="10.42578125" style="132" customWidth="1"/>
    <col min="14028" max="14028" width="10.140625" style="132" customWidth="1"/>
    <col min="14029" max="14029" width="1.140625" style="132" customWidth="1"/>
    <col min="14030" max="14030" width="18.7109375" style="132" customWidth="1"/>
    <col min="14031" max="14031" width="20.140625" style="132" customWidth="1"/>
    <col min="14032" max="14274" width="11.42578125" style="132"/>
    <col min="14275" max="14275" width="1.85546875" style="132" customWidth="1"/>
    <col min="14276" max="14276" width="13.5703125" style="132" customWidth="1"/>
    <col min="14277" max="14277" width="10.140625" style="132" customWidth="1"/>
    <col min="14278" max="14282" width="9.7109375" style="132" customWidth="1"/>
    <col min="14283" max="14283" width="10.42578125" style="132" customWidth="1"/>
    <col min="14284" max="14284" width="10.140625" style="132" customWidth="1"/>
    <col min="14285" max="14285" width="1.140625" style="132" customWidth="1"/>
    <col min="14286" max="14286" width="18.7109375" style="132" customWidth="1"/>
    <col min="14287" max="14287" width="20.140625" style="132" customWidth="1"/>
    <col min="14288" max="14530" width="11.42578125" style="132"/>
    <col min="14531" max="14531" width="1.85546875" style="132" customWidth="1"/>
    <col min="14532" max="14532" width="13.5703125" style="132" customWidth="1"/>
    <col min="14533" max="14533" width="10.140625" style="132" customWidth="1"/>
    <col min="14534" max="14538" width="9.7109375" style="132" customWidth="1"/>
    <col min="14539" max="14539" width="10.42578125" style="132" customWidth="1"/>
    <col min="14540" max="14540" width="10.140625" style="132" customWidth="1"/>
    <col min="14541" max="14541" width="1.140625" style="132" customWidth="1"/>
    <col min="14542" max="14542" width="18.7109375" style="132" customWidth="1"/>
    <col min="14543" max="14543" width="20.140625" style="132" customWidth="1"/>
    <col min="14544" max="14786" width="11.42578125" style="132"/>
    <col min="14787" max="14787" width="1.85546875" style="132" customWidth="1"/>
    <col min="14788" max="14788" width="13.5703125" style="132" customWidth="1"/>
    <col min="14789" max="14789" width="10.140625" style="132" customWidth="1"/>
    <col min="14790" max="14794" width="9.7109375" style="132" customWidth="1"/>
    <col min="14795" max="14795" width="10.42578125" style="132" customWidth="1"/>
    <col min="14796" max="14796" width="10.140625" style="132" customWidth="1"/>
    <col min="14797" max="14797" width="1.140625" style="132" customWidth="1"/>
    <col min="14798" max="14798" width="18.7109375" style="132" customWidth="1"/>
    <col min="14799" max="14799" width="20.140625" style="132" customWidth="1"/>
    <col min="14800" max="15042" width="11.42578125" style="132"/>
    <col min="15043" max="15043" width="1.85546875" style="132" customWidth="1"/>
    <col min="15044" max="15044" width="13.5703125" style="132" customWidth="1"/>
    <col min="15045" max="15045" width="10.140625" style="132" customWidth="1"/>
    <col min="15046" max="15050" width="9.7109375" style="132" customWidth="1"/>
    <col min="15051" max="15051" width="10.42578125" style="132" customWidth="1"/>
    <col min="15052" max="15052" width="10.140625" style="132" customWidth="1"/>
    <col min="15053" max="15053" width="1.140625" style="132" customWidth="1"/>
    <col min="15054" max="15054" width="18.7109375" style="132" customWidth="1"/>
    <col min="15055" max="15055" width="20.140625" style="132" customWidth="1"/>
    <col min="15056" max="15298" width="11.42578125" style="132"/>
    <col min="15299" max="15299" width="1.85546875" style="132" customWidth="1"/>
    <col min="15300" max="15300" width="13.5703125" style="132" customWidth="1"/>
    <col min="15301" max="15301" width="10.140625" style="132" customWidth="1"/>
    <col min="15302" max="15306" width="9.7109375" style="132" customWidth="1"/>
    <col min="15307" max="15307" width="10.42578125" style="132" customWidth="1"/>
    <col min="15308" max="15308" width="10.140625" style="132" customWidth="1"/>
    <col min="15309" max="15309" width="1.140625" style="132" customWidth="1"/>
    <col min="15310" max="15310" width="18.7109375" style="132" customWidth="1"/>
    <col min="15311" max="15311" width="20.140625" style="132" customWidth="1"/>
    <col min="15312" max="15554" width="11.42578125" style="132"/>
    <col min="15555" max="15555" width="1.85546875" style="132" customWidth="1"/>
    <col min="15556" max="15556" width="13.5703125" style="132" customWidth="1"/>
    <col min="15557" max="15557" width="10.140625" style="132" customWidth="1"/>
    <col min="15558" max="15562" width="9.7109375" style="132" customWidth="1"/>
    <col min="15563" max="15563" width="10.42578125" style="132" customWidth="1"/>
    <col min="15564" max="15564" width="10.140625" style="132" customWidth="1"/>
    <col min="15565" max="15565" width="1.140625" style="132" customWidth="1"/>
    <col min="15566" max="15566" width="18.7109375" style="132" customWidth="1"/>
    <col min="15567" max="15567" width="20.140625" style="132" customWidth="1"/>
    <col min="15568" max="15810" width="11.42578125" style="132"/>
    <col min="15811" max="15811" width="1.85546875" style="132" customWidth="1"/>
    <col min="15812" max="15812" width="13.5703125" style="132" customWidth="1"/>
    <col min="15813" max="15813" width="10.140625" style="132" customWidth="1"/>
    <col min="15814" max="15818" width="9.7109375" style="132" customWidth="1"/>
    <col min="15819" max="15819" width="10.42578125" style="132" customWidth="1"/>
    <col min="15820" max="15820" width="10.140625" style="132" customWidth="1"/>
    <col min="15821" max="15821" width="1.140625" style="132" customWidth="1"/>
    <col min="15822" max="15822" width="18.7109375" style="132" customWidth="1"/>
    <col min="15823" max="15823" width="20.140625" style="132" customWidth="1"/>
    <col min="15824" max="16066" width="11.42578125" style="132"/>
    <col min="16067" max="16067" width="1.85546875" style="132" customWidth="1"/>
    <col min="16068" max="16068" width="13.5703125" style="132" customWidth="1"/>
    <col min="16069" max="16069" width="10.140625" style="132" customWidth="1"/>
    <col min="16070" max="16074" width="9.7109375" style="132" customWidth="1"/>
    <col min="16075" max="16075" width="10.42578125" style="132" customWidth="1"/>
    <col min="16076" max="16076" width="10.140625" style="132" customWidth="1"/>
    <col min="16077" max="16077" width="1.140625" style="132" customWidth="1"/>
    <col min="16078" max="16078" width="18.7109375" style="132" customWidth="1"/>
    <col min="16079" max="16079" width="20.140625" style="132" customWidth="1"/>
    <col min="16080" max="16384" width="11.42578125" style="132"/>
  </cols>
  <sheetData>
    <row r="1" spans="1:194" s="131" customFormat="1" ht="17.100000000000001" customHeight="1">
      <c r="A1" s="1214"/>
      <c r="B1" s="1215"/>
      <c r="C1" s="1216"/>
      <c r="D1" s="1223" t="s">
        <v>8</v>
      </c>
      <c r="E1" s="1224"/>
      <c r="F1" s="1224"/>
      <c r="G1" s="1224"/>
      <c r="H1" s="1224"/>
      <c r="I1" s="1224"/>
      <c r="J1" s="1224"/>
      <c r="K1" s="1225"/>
    </row>
    <row r="2" spans="1:194" ht="17.100000000000001" customHeight="1">
      <c r="A2" s="1217"/>
      <c r="B2" s="1218"/>
      <c r="C2" s="1219"/>
      <c r="D2" s="1202" t="s">
        <v>78</v>
      </c>
      <c r="E2" s="1203"/>
      <c r="F2" s="1203"/>
      <c r="G2" s="1203"/>
      <c r="H2" s="1203"/>
      <c r="I2" s="1203"/>
      <c r="J2" s="1203"/>
      <c r="K2" s="1204"/>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c r="CA2" s="131"/>
      <c r="CB2" s="131"/>
      <c r="CC2" s="131"/>
      <c r="CD2" s="131"/>
      <c r="CE2" s="131"/>
      <c r="CF2" s="131"/>
      <c r="CG2" s="131"/>
      <c r="CH2" s="131"/>
      <c r="CI2" s="131"/>
      <c r="CJ2" s="131"/>
      <c r="CK2" s="131"/>
      <c r="CL2" s="131"/>
      <c r="CM2" s="131"/>
      <c r="CN2" s="131"/>
      <c r="CO2" s="131"/>
      <c r="CP2" s="131"/>
      <c r="CQ2" s="131"/>
      <c r="CR2" s="131"/>
      <c r="CS2" s="131"/>
      <c r="CT2" s="131"/>
      <c r="CU2" s="131"/>
      <c r="CV2" s="131"/>
      <c r="CW2" s="131"/>
      <c r="CX2" s="131"/>
      <c r="CY2" s="131"/>
      <c r="CZ2" s="131"/>
      <c r="DA2" s="131"/>
      <c r="DB2" s="131"/>
      <c r="DC2" s="131"/>
      <c r="DD2" s="131"/>
      <c r="DE2" s="131"/>
      <c r="DF2" s="131"/>
      <c r="DG2" s="131"/>
      <c r="DH2" s="131"/>
      <c r="DI2" s="131"/>
      <c r="DJ2" s="131"/>
      <c r="DK2" s="131"/>
      <c r="DL2" s="131"/>
      <c r="DM2" s="131"/>
      <c r="DN2" s="131"/>
      <c r="DO2" s="131"/>
      <c r="DP2" s="131"/>
      <c r="DQ2" s="131"/>
      <c r="DR2" s="131"/>
      <c r="DS2" s="131"/>
      <c r="DT2" s="131"/>
      <c r="DU2" s="131"/>
      <c r="DV2" s="131"/>
      <c r="DW2" s="131"/>
      <c r="DX2" s="131"/>
      <c r="DY2" s="131"/>
      <c r="DZ2" s="131"/>
      <c r="EA2" s="131"/>
      <c r="EB2" s="131"/>
      <c r="EC2" s="131"/>
      <c r="ED2" s="131"/>
      <c r="EE2" s="131"/>
      <c r="EF2" s="131"/>
      <c r="EG2" s="131"/>
      <c r="EH2" s="131"/>
      <c r="EI2" s="131"/>
      <c r="EJ2" s="131"/>
      <c r="EK2" s="131"/>
      <c r="EL2" s="131"/>
      <c r="EM2" s="131"/>
      <c r="EN2" s="131"/>
      <c r="EO2" s="131"/>
      <c r="EP2" s="131"/>
      <c r="EQ2" s="131"/>
      <c r="ER2" s="131"/>
      <c r="ES2" s="131"/>
      <c r="ET2" s="131"/>
      <c r="EU2" s="131"/>
      <c r="EV2" s="131"/>
      <c r="EW2" s="131"/>
      <c r="EX2" s="131"/>
      <c r="EY2" s="131"/>
      <c r="EZ2" s="131"/>
      <c r="FA2" s="131"/>
      <c r="FB2" s="131"/>
      <c r="FC2" s="131"/>
      <c r="FD2" s="131"/>
      <c r="FE2" s="131"/>
      <c r="FF2" s="131"/>
      <c r="FG2" s="131"/>
      <c r="FH2" s="131"/>
      <c r="FI2" s="131"/>
      <c r="FJ2" s="131"/>
      <c r="FK2" s="131"/>
      <c r="FL2" s="131"/>
      <c r="FM2" s="131"/>
      <c r="FN2" s="131"/>
      <c r="FO2" s="131"/>
      <c r="FP2" s="131"/>
      <c r="FQ2" s="131"/>
      <c r="FR2" s="131"/>
      <c r="FS2" s="131"/>
      <c r="FT2" s="131"/>
      <c r="FU2" s="131"/>
      <c r="FV2" s="131"/>
      <c r="FW2" s="131"/>
      <c r="FX2" s="131"/>
      <c r="FY2" s="131"/>
      <c r="FZ2" s="131"/>
      <c r="GA2" s="131"/>
      <c r="GB2" s="131"/>
      <c r="GC2" s="131"/>
      <c r="GD2" s="131"/>
      <c r="GE2" s="131"/>
      <c r="GF2" s="131"/>
      <c r="GG2" s="131"/>
      <c r="GH2" s="131"/>
      <c r="GI2" s="131"/>
      <c r="GJ2" s="131"/>
      <c r="GK2" s="131"/>
      <c r="GL2" s="131"/>
    </row>
    <row r="3" spans="1:194" ht="17.100000000000001" customHeight="1">
      <c r="A3" s="1217"/>
      <c r="B3" s="1218"/>
      <c r="C3" s="1219"/>
      <c r="D3" s="1205" t="s">
        <v>433</v>
      </c>
      <c r="E3" s="1206"/>
      <c r="F3" s="1206"/>
      <c r="G3" s="1206"/>
      <c r="H3" s="1206"/>
      <c r="I3" s="1206"/>
      <c r="J3" s="1206"/>
      <c r="K3" s="1207"/>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c r="AY3" s="131"/>
      <c r="AZ3" s="131"/>
      <c r="BA3" s="131"/>
      <c r="BB3" s="131"/>
      <c r="BC3" s="131"/>
      <c r="BD3" s="131"/>
      <c r="BE3" s="131"/>
      <c r="BF3" s="131"/>
      <c r="BG3" s="131"/>
      <c r="BH3" s="131"/>
      <c r="BI3" s="131"/>
      <c r="BJ3" s="131"/>
      <c r="BK3" s="131"/>
      <c r="BL3" s="131"/>
      <c r="BM3" s="131"/>
      <c r="BN3" s="131"/>
      <c r="BO3" s="131"/>
      <c r="BP3" s="131"/>
      <c r="BQ3" s="131"/>
      <c r="BR3" s="131"/>
      <c r="BS3" s="131"/>
      <c r="BT3" s="131"/>
      <c r="BU3" s="131"/>
      <c r="BV3" s="131"/>
      <c r="BW3" s="131"/>
      <c r="BX3" s="131"/>
      <c r="BY3" s="131"/>
      <c r="BZ3" s="131"/>
      <c r="CA3" s="131"/>
      <c r="CB3" s="131"/>
      <c r="CC3" s="131"/>
      <c r="CD3" s="131"/>
      <c r="CE3" s="131"/>
      <c r="CF3" s="131"/>
      <c r="CG3" s="131"/>
      <c r="CH3" s="131"/>
      <c r="CI3" s="131"/>
      <c r="CJ3" s="131"/>
      <c r="CK3" s="131"/>
      <c r="CL3" s="131"/>
      <c r="CM3" s="131"/>
      <c r="CN3" s="131"/>
      <c r="CO3" s="131"/>
      <c r="CP3" s="131"/>
      <c r="CQ3" s="131"/>
      <c r="CR3" s="131"/>
      <c r="CS3" s="131"/>
      <c r="CT3" s="131"/>
      <c r="CU3" s="131"/>
      <c r="CV3" s="131"/>
      <c r="CW3" s="131"/>
      <c r="CX3" s="131"/>
      <c r="CY3" s="131"/>
      <c r="CZ3" s="131"/>
      <c r="DA3" s="131"/>
      <c r="DB3" s="131"/>
      <c r="DC3" s="131"/>
      <c r="DD3" s="131"/>
      <c r="DE3" s="131"/>
      <c r="DF3" s="131"/>
      <c r="DG3" s="131"/>
      <c r="DH3" s="131"/>
      <c r="DI3" s="131"/>
      <c r="DJ3" s="131"/>
      <c r="DK3" s="131"/>
      <c r="DL3" s="131"/>
      <c r="DM3" s="131"/>
      <c r="DN3" s="131"/>
      <c r="DO3" s="131"/>
      <c r="DP3" s="131"/>
      <c r="DQ3" s="131"/>
      <c r="DR3" s="131"/>
      <c r="DS3" s="131"/>
      <c r="DT3" s="131"/>
      <c r="DU3" s="131"/>
      <c r="DV3" s="131"/>
      <c r="DW3" s="131"/>
      <c r="DX3" s="131"/>
      <c r="DY3" s="131"/>
      <c r="DZ3" s="131"/>
      <c r="EA3" s="131"/>
      <c r="EB3" s="131"/>
      <c r="EC3" s="131"/>
      <c r="ED3" s="131"/>
      <c r="EE3" s="131"/>
      <c r="EF3" s="131"/>
      <c r="EG3" s="131"/>
      <c r="EH3" s="131"/>
      <c r="EI3" s="131"/>
      <c r="EJ3" s="131"/>
      <c r="EK3" s="131"/>
      <c r="EL3" s="131"/>
      <c r="EM3" s="131"/>
      <c r="EN3" s="131"/>
      <c r="EO3" s="131"/>
      <c r="EP3" s="131"/>
      <c r="EQ3" s="131"/>
      <c r="ER3" s="131"/>
      <c r="ES3" s="131"/>
      <c r="ET3" s="131"/>
      <c r="EU3" s="131"/>
      <c r="EV3" s="131"/>
      <c r="EW3" s="131"/>
      <c r="EX3" s="131"/>
      <c r="EY3" s="131"/>
      <c r="EZ3" s="131"/>
      <c r="FA3" s="131"/>
      <c r="FB3" s="131"/>
      <c r="FC3" s="131"/>
      <c r="FD3" s="131"/>
      <c r="FE3" s="131"/>
      <c r="FF3" s="131"/>
      <c r="FG3" s="131"/>
      <c r="FH3" s="131"/>
      <c r="FI3" s="131"/>
      <c r="FJ3" s="131"/>
      <c r="FK3" s="131"/>
      <c r="FL3" s="131"/>
      <c r="FM3" s="131"/>
      <c r="FN3" s="131"/>
      <c r="FO3" s="131"/>
      <c r="FP3" s="131"/>
      <c r="FQ3" s="131"/>
      <c r="FR3" s="131"/>
      <c r="FS3" s="131"/>
      <c r="FT3" s="131"/>
      <c r="FU3" s="131"/>
      <c r="FV3" s="131"/>
      <c r="FW3" s="131"/>
      <c r="FX3" s="131"/>
      <c r="FY3" s="131"/>
      <c r="FZ3" s="131"/>
      <c r="GA3" s="131"/>
      <c r="GB3" s="131"/>
      <c r="GC3" s="131"/>
      <c r="GD3" s="131"/>
      <c r="GE3" s="131"/>
      <c r="GF3" s="131"/>
      <c r="GG3" s="131"/>
      <c r="GH3" s="131"/>
      <c r="GI3" s="131"/>
      <c r="GJ3" s="131"/>
      <c r="GK3" s="131"/>
      <c r="GL3" s="131"/>
    </row>
    <row r="4" spans="1:194" ht="15" customHeight="1">
      <c r="A4" s="1217"/>
      <c r="B4" s="1218"/>
      <c r="C4" s="1219"/>
      <c r="D4" s="1208" t="s">
        <v>79</v>
      </c>
      <c r="E4" s="1209"/>
      <c r="F4" s="1210"/>
      <c r="G4" s="1208" t="s">
        <v>424</v>
      </c>
      <c r="H4" s="1209"/>
      <c r="I4" s="1209"/>
      <c r="J4" s="1209"/>
      <c r="K4" s="1210"/>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131"/>
      <c r="BO4" s="131"/>
      <c r="BP4" s="131"/>
      <c r="BQ4" s="131"/>
      <c r="BR4" s="131"/>
      <c r="BS4" s="131"/>
      <c r="BT4" s="131"/>
      <c r="BU4" s="131"/>
      <c r="BV4" s="131"/>
      <c r="BW4" s="131"/>
      <c r="BX4" s="131"/>
      <c r="BY4" s="131"/>
      <c r="BZ4" s="131"/>
      <c r="CA4" s="131"/>
      <c r="CB4" s="131"/>
      <c r="CC4" s="131"/>
      <c r="CD4" s="131"/>
      <c r="CE4" s="131"/>
      <c r="CF4" s="131"/>
      <c r="CG4" s="131"/>
      <c r="CH4" s="131"/>
      <c r="CI4" s="131"/>
      <c r="CJ4" s="131"/>
      <c r="CK4" s="131"/>
      <c r="CL4" s="131"/>
      <c r="CM4" s="131"/>
      <c r="CN4" s="131"/>
      <c r="CO4" s="131"/>
      <c r="CP4" s="131"/>
      <c r="CQ4" s="131"/>
      <c r="CR4" s="131"/>
      <c r="CS4" s="131"/>
      <c r="CT4" s="131"/>
      <c r="CU4" s="131"/>
      <c r="CV4" s="131"/>
      <c r="CW4" s="131"/>
      <c r="CX4" s="131"/>
      <c r="CY4" s="131"/>
      <c r="CZ4" s="131"/>
      <c r="DA4" s="131"/>
      <c r="DB4" s="131"/>
      <c r="DC4" s="131"/>
      <c r="DD4" s="131"/>
      <c r="DE4" s="131"/>
      <c r="DF4" s="131"/>
      <c r="DG4" s="131"/>
      <c r="DH4" s="131"/>
      <c r="DI4" s="131"/>
      <c r="DJ4" s="131"/>
      <c r="DK4" s="131"/>
      <c r="DL4" s="131"/>
      <c r="DM4" s="131"/>
      <c r="DN4" s="131"/>
      <c r="DO4" s="131"/>
      <c r="DP4" s="131"/>
      <c r="DQ4" s="131"/>
      <c r="DR4" s="131"/>
      <c r="DS4" s="131"/>
      <c r="DT4" s="131"/>
      <c r="DU4" s="131"/>
      <c r="DV4" s="131"/>
      <c r="DW4" s="131"/>
      <c r="DX4" s="131"/>
      <c r="DY4" s="131"/>
      <c r="DZ4" s="131"/>
      <c r="EA4" s="131"/>
      <c r="EB4" s="131"/>
      <c r="EC4" s="131"/>
      <c r="ED4" s="131"/>
      <c r="EE4" s="131"/>
      <c r="EF4" s="131"/>
      <c r="EG4" s="131"/>
      <c r="EH4" s="131"/>
      <c r="EI4" s="131"/>
      <c r="EJ4" s="131"/>
      <c r="EK4" s="131"/>
      <c r="EL4" s="131"/>
      <c r="EM4" s="131"/>
      <c r="EN4" s="131"/>
      <c r="EO4" s="131"/>
      <c r="EP4" s="131"/>
      <c r="EQ4" s="131"/>
      <c r="ER4" s="131"/>
      <c r="ES4" s="131"/>
      <c r="ET4" s="131"/>
      <c r="EU4" s="131"/>
      <c r="EV4" s="131"/>
      <c r="EW4" s="131"/>
      <c r="EX4" s="131"/>
      <c r="EY4" s="131"/>
      <c r="EZ4" s="131"/>
      <c r="FA4" s="131"/>
      <c r="FB4" s="131"/>
      <c r="FC4" s="131"/>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row>
    <row r="5" spans="1:194" ht="15" customHeight="1">
      <c r="A5" s="1220"/>
      <c r="B5" s="1221"/>
      <c r="C5" s="1222"/>
      <c r="D5" s="1211" t="s">
        <v>466</v>
      </c>
      <c r="E5" s="1212"/>
      <c r="F5" s="1212"/>
      <c r="G5" s="1212"/>
      <c r="H5" s="1212"/>
      <c r="I5" s="1212"/>
      <c r="J5" s="1212"/>
      <c r="K5" s="1213"/>
      <c r="L5" s="131"/>
      <c r="M5" s="131"/>
      <c r="N5" s="131"/>
      <c r="O5" s="131"/>
      <c r="P5" s="131"/>
      <c r="Q5" s="131"/>
      <c r="R5" s="131"/>
      <c r="S5" s="131"/>
      <c r="T5" s="131"/>
      <c r="U5" s="131"/>
      <c r="V5" s="131"/>
      <c r="W5" s="131"/>
      <c r="X5" s="131"/>
      <c r="Y5" s="131"/>
      <c r="Z5" s="131"/>
      <c r="AA5" s="131"/>
      <c r="AB5" s="131"/>
      <c r="AC5" s="131"/>
      <c r="AD5" s="131"/>
      <c r="AE5" s="131"/>
      <c r="AF5" s="131"/>
      <c r="AG5" s="131"/>
      <c r="AH5" s="131"/>
      <c r="AI5" s="131"/>
      <c r="AJ5" s="131"/>
      <c r="AK5" s="131"/>
      <c r="AL5" s="131"/>
      <c r="AM5" s="131"/>
      <c r="AN5" s="131"/>
      <c r="AO5" s="131"/>
      <c r="AP5" s="131"/>
      <c r="AQ5" s="131"/>
      <c r="AR5" s="131"/>
      <c r="AS5" s="131"/>
      <c r="AT5" s="131"/>
      <c r="AU5" s="131"/>
      <c r="AV5" s="131"/>
      <c r="AW5" s="131"/>
      <c r="AX5" s="131"/>
      <c r="AY5" s="131"/>
      <c r="AZ5" s="131"/>
      <c r="BA5" s="131"/>
      <c r="BB5" s="131"/>
      <c r="BC5" s="131"/>
      <c r="BD5" s="131"/>
      <c r="BE5" s="131"/>
      <c r="BF5" s="131"/>
      <c r="BG5" s="131"/>
      <c r="BH5" s="131"/>
      <c r="BI5" s="131"/>
      <c r="BJ5" s="131"/>
      <c r="BK5" s="131"/>
      <c r="BL5" s="131"/>
      <c r="BM5" s="131"/>
      <c r="BN5" s="131"/>
      <c r="BO5" s="131"/>
      <c r="BP5" s="131"/>
      <c r="BQ5" s="131"/>
      <c r="BR5" s="131"/>
      <c r="BS5" s="131"/>
      <c r="BT5" s="131"/>
      <c r="BU5" s="131"/>
      <c r="BV5" s="131"/>
      <c r="BW5" s="131"/>
      <c r="BX5" s="131"/>
      <c r="BY5" s="131"/>
      <c r="BZ5" s="131"/>
      <c r="CA5" s="131"/>
      <c r="CB5" s="131"/>
      <c r="CC5" s="131"/>
      <c r="CD5" s="131"/>
      <c r="CE5" s="131"/>
      <c r="CF5" s="131"/>
      <c r="CG5" s="131"/>
      <c r="CH5" s="131"/>
      <c r="CI5" s="131"/>
      <c r="CJ5" s="131"/>
      <c r="CK5" s="131"/>
      <c r="CL5" s="131"/>
      <c r="CM5" s="131"/>
      <c r="CN5" s="131"/>
      <c r="CO5" s="131"/>
      <c r="CP5" s="131"/>
      <c r="CQ5" s="131"/>
      <c r="CR5" s="131"/>
      <c r="CS5" s="131"/>
      <c r="CT5" s="131"/>
      <c r="CU5" s="131"/>
      <c r="CV5" s="131"/>
      <c r="CW5" s="131"/>
      <c r="CX5" s="131"/>
      <c r="CY5" s="131"/>
      <c r="CZ5" s="131"/>
      <c r="DA5" s="131"/>
      <c r="DB5" s="131"/>
      <c r="DC5" s="131"/>
      <c r="DD5" s="131"/>
      <c r="DE5" s="131"/>
      <c r="DF5" s="131"/>
      <c r="DG5" s="131"/>
      <c r="DH5" s="131"/>
      <c r="DI5" s="131"/>
      <c r="DJ5" s="131"/>
      <c r="DK5" s="131"/>
      <c r="DL5" s="131"/>
      <c r="DM5" s="131"/>
      <c r="DN5" s="131"/>
      <c r="DO5" s="131"/>
      <c r="DP5" s="131"/>
      <c r="DQ5" s="131"/>
      <c r="DR5" s="131"/>
      <c r="DS5" s="131"/>
      <c r="DT5" s="131"/>
      <c r="DU5" s="131"/>
      <c r="DV5" s="131"/>
      <c r="DW5" s="131"/>
      <c r="DX5" s="131"/>
      <c r="DY5" s="131"/>
      <c r="DZ5" s="131"/>
      <c r="EA5" s="131"/>
      <c r="EB5" s="131"/>
      <c r="EC5" s="131"/>
      <c r="ED5" s="131"/>
      <c r="EE5" s="131"/>
      <c r="EF5" s="131"/>
      <c r="EG5" s="131"/>
      <c r="EH5" s="131"/>
      <c r="EI5" s="131"/>
      <c r="EJ5" s="131"/>
      <c r="EK5" s="131"/>
      <c r="EL5" s="131"/>
      <c r="EM5" s="131"/>
      <c r="EN5" s="131"/>
      <c r="EO5" s="131"/>
      <c r="EP5" s="131"/>
      <c r="EQ5" s="131"/>
      <c r="ER5" s="131"/>
      <c r="ES5" s="131"/>
      <c r="ET5" s="131"/>
      <c r="EU5" s="131"/>
      <c r="EV5" s="131"/>
      <c r="EW5" s="131"/>
      <c r="EX5" s="131"/>
      <c r="EY5" s="131"/>
      <c r="EZ5" s="131"/>
      <c r="FA5" s="131"/>
      <c r="FB5" s="131"/>
      <c r="FC5" s="131"/>
      <c r="FD5" s="131"/>
      <c r="FE5" s="131"/>
      <c r="FF5" s="131"/>
      <c r="FG5" s="131"/>
      <c r="FH5" s="131"/>
      <c r="FI5" s="131"/>
      <c r="FJ5" s="131"/>
      <c r="FK5" s="131"/>
      <c r="FL5" s="131"/>
      <c r="FM5" s="131"/>
      <c r="FN5" s="131"/>
      <c r="FO5" s="131"/>
      <c r="FP5" s="131"/>
      <c r="FQ5" s="131"/>
      <c r="FR5" s="131"/>
      <c r="FS5" s="131"/>
      <c r="FT5" s="131"/>
      <c r="FU5" s="131"/>
      <c r="FV5" s="131"/>
      <c r="FW5" s="131"/>
      <c r="FX5" s="131"/>
      <c r="FY5" s="131"/>
      <c r="FZ5" s="131"/>
      <c r="GA5" s="131"/>
      <c r="GB5" s="131"/>
      <c r="GC5" s="131"/>
      <c r="GD5" s="131"/>
      <c r="GE5" s="131"/>
      <c r="GF5" s="131"/>
      <c r="GG5" s="131"/>
      <c r="GH5" s="131"/>
      <c r="GI5" s="131"/>
      <c r="GJ5" s="131"/>
      <c r="GK5" s="131"/>
      <c r="GL5" s="131"/>
    </row>
    <row r="6" spans="1:194" s="134" customFormat="1" ht="20.100000000000001" customHeight="1">
      <c r="A6" s="566" t="s">
        <v>5</v>
      </c>
      <c r="B6" s="1186" t="e">
        <f>IF(#REF!="","",+#REF!)</f>
        <v>#REF!</v>
      </c>
      <c r="C6" s="1186"/>
      <c r="D6" s="1186"/>
      <c r="E6" s="1186"/>
      <c r="F6" s="1186"/>
      <c r="G6" s="1236" t="s">
        <v>229</v>
      </c>
      <c r="H6" s="1236"/>
      <c r="I6" s="1236"/>
      <c r="J6" s="1236"/>
      <c r="K6" s="1239"/>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c r="BM6" s="133"/>
      <c r="BN6" s="133"/>
      <c r="BO6" s="133"/>
      <c r="BP6" s="133"/>
      <c r="BQ6" s="133"/>
      <c r="BR6" s="133"/>
      <c r="BS6" s="133"/>
      <c r="BT6" s="133"/>
      <c r="BU6" s="133"/>
      <c r="BV6" s="133"/>
      <c r="BW6" s="133"/>
      <c r="BX6" s="133"/>
      <c r="BY6" s="133"/>
      <c r="BZ6" s="133"/>
      <c r="CA6" s="133"/>
      <c r="CB6" s="133"/>
      <c r="CC6" s="133"/>
      <c r="CD6" s="133"/>
      <c r="CE6" s="133"/>
      <c r="CF6" s="133"/>
      <c r="CG6" s="133"/>
      <c r="CH6" s="133"/>
      <c r="CI6" s="133"/>
      <c r="CJ6" s="133"/>
      <c r="CK6" s="133"/>
      <c r="CL6" s="133"/>
      <c r="CM6" s="133"/>
      <c r="CN6" s="133"/>
      <c r="CO6" s="133"/>
      <c r="CP6" s="133"/>
      <c r="CQ6" s="133"/>
      <c r="CR6" s="133"/>
      <c r="CS6" s="133"/>
      <c r="CT6" s="133"/>
      <c r="CU6" s="133"/>
      <c r="CV6" s="133"/>
      <c r="CW6" s="133"/>
      <c r="CX6" s="133"/>
      <c r="CY6" s="133"/>
      <c r="CZ6" s="133"/>
      <c r="DA6" s="133"/>
      <c r="DB6" s="133"/>
      <c r="DC6" s="133"/>
      <c r="DD6" s="133"/>
      <c r="DE6" s="133"/>
      <c r="DF6" s="133"/>
      <c r="DG6" s="133"/>
      <c r="DH6" s="133"/>
      <c r="DI6" s="133"/>
      <c r="DJ6" s="133"/>
      <c r="DK6" s="133"/>
      <c r="DL6" s="133"/>
      <c r="DM6" s="133"/>
      <c r="DN6" s="133"/>
      <c r="DO6" s="133"/>
      <c r="DP6" s="133"/>
      <c r="DQ6" s="133"/>
      <c r="DR6" s="133"/>
      <c r="DS6" s="133"/>
      <c r="DT6" s="133"/>
      <c r="DU6" s="133"/>
      <c r="DV6" s="133"/>
      <c r="DW6" s="133"/>
      <c r="DX6" s="133"/>
      <c r="DY6" s="133"/>
      <c r="DZ6" s="133"/>
      <c r="EA6" s="133"/>
      <c r="EB6" s="133"/>
      <c r="EC6" s="133"/>
      <c r="ED6" s="133"/>
      <c r="EE6" s="133"/>
      <c r="EF6" s="133"/>
      <c r="EG6" s="133"/>
      <c r="EH6" s="133"/>
      <c r="EI6" s="133"/>
      <c r="EJ6" s="133"/>
      <c r="EK6" s="133"/>
      <c r="EL6" s="133"/>
      <c r="EM6" s="133"/>
      <c r="EN6" s="133"/>
      <c r="EO6" s="133"/>
      <c r="EP6" s="133"/>
      <c r="EQ6" s="133"/>
      <c r="ER6" s="133"/>
      <c r="ES6" s="133"/>
      <c r="ET6" s="133"/>
      <c r="EU6" s="133"/>
      <c r="EV6" s="133"/>
      <c r="EW6" s="133"/>
      <c r="EX6" s="133"/>
      <c r="EY6" s="133"/>
      <c r="EZ6" s="133"/>
      <c r="FA6" s="133"/>
      <c r="FB6" s="133"/>
      <c r="FC6" s="133"/>
      <c r="FD6" s="133"/>
      <c r="FE6" s="133"/>
      <c r="FF6" s="133"/>
      <c r="FG6" s="133"/>
      <c r="FH6" s="133"/>
      <c r="FI6" s="133"/>
      <c r="FJ6" s="133"/>
      <c r="FK6" s="133"/>
      <c r="FL6" s="133"/>
      <c r="FM6" s="133"/>
      <c r="FN6" s="133"/>
      <c r="FO6" s="133"/>
      <c r="FP6" s="133"/>
      <c r="FQ6" s="133"/>
      <c r="FR6" s="133"/>
      <c r="FS6" s="133"/>
      <c r="FT6" s="133"/>
      <c r="FU6" s="133"/>
      <c r="FV6" s="133"/>
      <c r="FW6" s="133"/>
      <c r="FX6" s="133"/>
      <c r="FY6" s="133"/>
      <c r="FZ6" s="133"/>
      <c r="GA6" s="133"/>
      <c r="GB6" s="133"/>
      <c r="GC6" s="133"/>
      <c r="GD6" s="133"/>
      <c r="GE6" s="133"/>
      <c r="GF6" s="133"/>
      <c r="GG6" s="133"/>
      <c r="GH6" s="133"/>
      <c r="GI6" s="133"/>
      <c r="GJ6" s="133"/>
      <c r="GK6" s="133"/>
      <c r="GL6" s="133"/>
    </row>
    <row r="7" spans="1:194" s="134" customFormat="1" ht="20.100000000000001" customHeight="1">
      <c r="A7" s="566" t="s">
        <v>30</v>
      </c>
      <c r="B7" s="1187" t="e">
        <f>IF(#REF!="","",+#REF!)</f>
        <v>#REF!</v>
      </c>
      <c r="C7" s="1187"/>
      <c r="D7" s="35" t="s">
        <v>17</v>
      </c>
      <c r="E7" s="1187" t="e">
        <f>IF(#REF!="","",#REF!)</f>
        <v>#REF!</v>
      </c>
      <c r="F7" s="1187"/>
      <c r="G7" s="1237" t="s">
        <v>31</v>
      </c>
      <c r="H7" s="1237"/>
      <c r="I7" s="1240" t="e">
        <f>IF(#REF!="","",+#REF!)</f>
        <v>#REF!</v>
      </c>
      <c r="J7" s="1240"/>
      <c r="K7" s="1241"/>
    </row>
    <row r="8" spans="1:194" s="134" customFormat="1" ht="20.100000000000001" customHeight="1">
      <c r="A8" s="566" t="s">
        <v>323</v>
      </c>
      <c r="B8" s="1187" t="e">
        <f>IF(#REF!="","",+#REF!)</f>
        <v>#REF!</v>
      </c>
      <c r="C8" s="1187"/>
      <c r="D8" s="644" t="s">
        <v>18</v>
      </c>
      <c r="E8" s="1187" t="e">
        <f>IF(#REF!="","",#REF!)</f>
        <v>#REF!</v>
      </c>
      <c r="F8" s="1187"/>
      <c r="G8" s="1237" t="s">
        <v>266</v>
      </c>
      <c r="H8" s="1237"/>
      <c r="I8" s="1242"/>
      <c r="J8" s="1242"/>
      <c r="K8" s="1243"/>
    </row>
    <row r="9" spans="1:194" s="134" customFormat="1" ht="20.100000000000001" customHeight="1">
      <c r="A9" s="567" t="s">
        <v>6</v>
      </c>
      <c r="B9" s="1199" t="e">
        <f>IF(#REF!="","",+#REF!)</f>
        <v>#REF!</v>
      </c>
      <c r="C9" s="1199"/>
      <c r="D9" s="1199"/>
      <c r="E9" s="1199"/>
      <c r="F9" s="1199"/>
      <c r="G9" s="1238" t="s">
        <v>464</v>
      </c>
      <c r="H9" s="1238"/>
      <c r="I9" s="1244" t="e">
        <f>IF(#REF!="","",+#REF!)</f>
        <v>#REF!</v>
      </c>
      <c r="J9" s="1244"/>
      <c r="K9" s="1245"/>
    </row>
    <row r="10" spans="1:194" ht="45" customHeight="1">
      <c r="A10" s="1190" t="s">
        <v>80</v>
      </c>
      <c r="B10" s="1191"/>
      <c r="C10" s="1191"/>
      <c r="D10" s="1191"/>
      <c r="E10" s="1191"/>
      <c r="F10" s="1191"/>
      <c r="G10" s="1192"/>
      <c r="H10" s="1197" t="s">
        <v>81</v>
      </c>
      <c r="I10" s="1198"/>
      <c r="J10" s="1195" t="s">
        <v>346</v>
      </c>
      <c r="K10" s="1196"/>
    </row>
    <row r="11" spans="1:194" ht="39.950000000000003" customHeight="1">
      <c r="A11" s="1193" t="s">
        <v>250</v>
      </c>
      <c r="B11" s="1194"/>
      <c r="C11" s="1194"/>
      <c r="D11" s="1194"/>
      <c r="E11" s="1194"/>
      <c r="F11" s="1194"/>
      <c r="G11" s="135" t="s">
        <v>82</v>
      </c>
      <c r="H11" s="1173"/>
      <c r="I11" s="1174"/>
      <c r="J11" s="1173"/>
      <c r="K11" s="1174"/>
    </row>
    <row r="12" spans="1:194" ht="39.950000000000003" customHeight="1">
      <c r="A12" s="1200" t="s">
        <v>368</v>
      </c>
      <c r="B12" s="1201"/>
      <c r="C12" s="1201"/>
      <c r="D12" s="1201"/>
      <c r="E12" s="1201"/>
      <c r="F12" s="1201"/>
      <c r="G12" s="135" t="s">
        <v>82</v>
      </c>
      <c r="H12" s="1173"/>
      <c r="I12" s="1174"/>
      <c r="J12" s="1188"/>
      <c r="K12" s="1189"/>
      <c r="L12" s="136"/>
    </row>
    <row r="13" spans="1:194" ht="39.950000000000003" customHeight="1">
      <c r="A13" s="1200" t="s">
        <v>369</v>
      </c>
      <c r="B13" s="1201"/>
      <c r="C13" s="1201"/>
      <c r="D13" s="1201"/>
      <c r="E13" s="1201"/>
      <c r="F13" s="1201"/>
      <c r="G13" s="135" t="s">
        <v>82</v>
      </c>
      <c r="H13" s="1175" t="str">
        <f>IF(H11="","",(H11-H12))</f>
        <v/>
      </c>
      <c r="I13" s="1176"/>
      <c r="J13" s="1175" t="str">
        <f>IF(J11="","",(J11-J12))</f>
        <v/>
      </c>
      <c r="K13" s="1176"/>
    </row>
    <row r="14" spans="1:194" ht="39.950000000000003" customHeight="1">
      <c r="A14" s="1184" t="s">
        <v>83</v>
      </c>
      <c r="B14" s="1185"/>
      <c r="C14" s="1185"/>
      <c r="D14" s="1185"/>
      <c r="E14" s="1185"/>
      <c r="F14" s="1185"/>
      <c r="G14" s="137" t="s">
        <v>84</v>
      </c>
      <c r="H14" s="1173"/>
      <c r="I14" s="1174"/>
      <c r="J14" s="1173"/>
      <c r="K14" s="1174"/>
    </row>
    <row r="15" spans="1:194" ht="39.950000000000003" customHeight="1">
      <c r="A15" s="1184" t="s">
        <v>344</v>
      </c>
      <c r="B15" s="1185"/>
      <c r="C15" s="1185"/>
      <c r="D15" s="1185"/>
      <c r="E15" s="1185"/>
      <c r="F15" s="1185"/>
      <c r="G15" s="137" t="s">
        <v>85</v>
      </c>
      <c r="H15" s="1173"/>
      <c r="I15" s="1174"/>
      <c r="J15" s="1173"/>
      <c r="K15" s="1174"/>
    </row>
    <row r="16" spans="1:194" ht="39.950000000000003" customHeight="1">
      <c r="A16" s="1182" t="s">
        <v>343</v>
      </c>
      <c r="B16" s="1183"/>
      <c r="C16" s="1183"/>
      <c r="D16" s="1183"/>
      <c r="E16" s="1183"/>
      <c r="F16" s="1183"/>
      <c r="G16" s="137" t="s">
        <v>86</v>
      </c>
      <c r="H16" s="1175" t="str">
        <f>IF(H11="","",(H13/H11*100))</f>
        <v/>
      </c>
      <c r="I16" s="1176"/>
      <c r="J16" s="1175" t="str">
        <f>IF(J11="","",(J13/J11*100))</f>
        <v/>
      </c>
      <c r="K16" s="1176"/>
    </row>
    <row r="17" spans="1:12" ht="39.950000000000003" customHeight="1">
      <c r="A17" s="1182" t="s">
        <v>345</v>
      </c>
      <c r="B17" s="1183"/>
      <c r="C17" s="1183"/>
      <c r="D17" s="1183"/>
      <c r="E17" s="1183"/>
      <c r="F17" s="1183"/>
      <c r="G17" s="137" t="s">
        <v>85</v>
      </c>
      <c r="H17" s="1177" t="str">
        <f>IF(OR(H15="",H16=""),"",((14*H15)/(H16+4)))</f>
        <v/>
      </c>
      <c r="I17" s="1178"/>
      <c r="J17" s="1177" t="str">
        <f>IF(OR(J15="",J16=""),"",((14*J15)/(J16+4)))</f>
        <v/>
      </c>
      <c r="K17" s="1178"/>
    </row>
    <row r="18" spans="1:12" ht="39.950000000000003" customHeight="1">
      <c r="A18" s="1184" t="s">
        <v>87</v>
      </c>
      <c r="B18" s="1185"/>
      <c r="C18" s="1185"/>
      <c r="D18" s="1185"/>
      <c r="E18" s="1185"/>
      <c r="F18" s="1185"/>
      <c r="G18" s="137" t="s">
        <v>86</v>
      </c>
      <c r="H18" s="1179" t="str">
        <f>IF(H17="","",(J17/H17*100))</f>
        <v/>
      </c>
      <c r="I18" s="1180"/>
      <c r="J18" s="1180"/>
      <c r="K18" s="1181"/>
    </row>
    <row r="19" spans="1:12" s="72" customFormat="1" ht="18.75" customHeight="1">
      <c r="A19" s="1234" t="s">
        <v>19</v>
      </c>
      <c r="B19" s="1235"/>
      <c r="C19" s="1229"/>
      <c r="D19" s="1229"/>
      <c r="E19" s="1229"/>
      <c r="F19" s="1229"/>
      <c r="G19" s="1229"/>
      <c r="H19" s="1229"/>
      <c r="I19" s="1229"/>
      <c r="J19" s="1229"/>
      <c r="K19" s="1230"/>
    </row>
    <row r="20" spans="1:12" s="138" customFormat="1" ht="30" customHeight="1">
      <c r="A20" s="910"/>
      <c r="B20" s="911"/>
      <c r="C20" s="911"/>
      <c r="D20" s="911"/>
      <c r="E20" s="911"/>
      <c r="F20" s="911"/>
      <c r="G20" s="911"/>
      <c r="H20" s="911"/>
      <c r="I20" s="911"/>
      <c r="J20" s="911"/>
      <c r="K20" s="912"/>
    </row>
    <row r="21" spans="1:12" s="138" customFormat="1" ht="15.95" customHeight="1">
      <c r="A21" s="1231"/>
      <c r="B21" s="1232"/>
      <c r="C21" s="1233"/>
      <c r="D21" s="1227" t="s">
        <v>9</v>
      </c>
      <c r="E21" s="1228"/>
      <c r="F21" s="1226" t="s">
        <v>21</v>
      </c>
      <c r="G21" s="1227"/>
      <c r="H21" s="1228"/>
      <c r="I21" s="1226" t="s">
        <v>22</v>
      </c>
      <c r="J21" s="1227"/>
      <c r="K21" s="1228"/>
    </row>
    <row r="22" spans="1:12" s="138" customFormat="1" ht="45" customHeight="1">
      <c r="A22" s="1157" t="s">
        <v>12</v>
      </c>
      <c r="B22" s="1158"/>
      <c r="C22" s="1159"/>
      <c r="D22" s="1149"/>
      <c r="E22" s="1150"/>
      <c r="F22" s="1169"/>
      <c r="G22" s="1170"/>
      <c r="H22" s="1171"/>
      <c r="I22" s="1172"/>
      <c r="J22" s="1171"/>
      <c r="K22" s="1171"/>
    </row>
    <row r="23" spans="1:12" s="138" customFormat="1" ht="15.95" customHeight="1">
      <c r="A23" s="1157" t="s">
        <v>449</v>
      </c>
      <c r="B23" s="1158"/>
      <c r="C23" s="1159"/>
      <c r="D23" s="1151" t="s">
        <v>410</v>
      </c>
      <c r="E23" s="1152"/>
      <c r="F23" s="1155" t="s">
        <v>410</v>
      </c>
      <c r="G23" s="1151"/>
      <c r="H23" s="1152"/>
      <c r="I23" s="1166" t="s">
        <v>410</v>
      </c>
      <c r="J23" s="1167"/>
      <c r="K23" s="1168"/>
    </row>
    <row r="24" spans="1:12" s="138" customFormat="1" ht="15.95" customHeight="1" thickBot="1">
      <c r="A24" s="1160" t="s">
        <v>13</v>
      </c>
      <c r="B24" s="1161"/>
      <c r="C24" s="1162"/>
      <c r="D24" s="1153" t="str">
        <f>IF(D23="--","",VLOOKUP(D23,firmas!A2:B26,2,0))</f>
        <v/>
      </c>
      <c r="E24" s="1154"/>
      <c r="F24" s="1156" t="str">
        <f>IF(F23="--","",VLOOKUP(F23,firmas!A28:B31,2,0))</f>
        <v/>
      </c>
      <c r="G24" s="1153"/>
      <c r="H24" s="1154"/>
      <c r="I24" s="1163" t="str">
        <f>IF(I23="--","",VLOOKUP(I23,firmas!A33:B34,2))</f>
        <v/>
      </c>
      <c r="J24" s="1164"/>
      <c r="K24" s="1165"/>
    </row>
    <row r="25" spans="1:12" s="139" customFormat="1" ht="15.95" customHeight="1" thickTop="1" thickBot="1">
      <c r="A25" s="904" t="s">
        <v>23</v>
      </c>
      <c r="B25" s="904"/>
      <c r="C25" s="904"/>
      <c r="D25" s="904"/>
      <c r="E25" s="904"/>
      <c r="F25" s="904"/>
      <c r="G25" s="904"/>
      <c r="H25" s="904"/>
      <c r="I25" s="904"/>
      <c r="J25" s="904"/>
      <c r="K25" s="904"/>
    </row>
    <row r="26" spans="1:12" s="138" customFormat="1" ht="21.95" customHeight="1" thickTop="1">
      <c r="A26" s="1148" t="s">
        <v>24</v>
      </c>
      <c r="B26" s="1148"/>
      <c r="C26" s="1148"/>
      <c r="D26" s="1148"/>
      <c r="E26" s="1148"/>
      <c r="F26" s="1148"/>
      <c r="G26" s="1148"/>
      <c r="H26" s="1148"/>
      <c r="I26" s="1148"/>
      <c r="J26" s="1148"/>
      <c r="K26" s="1148"/>
    </row>
    <row r="27" spans="1:12" s="138" customFormat="1" ht="32.1" customHeight="1">
      <c r="A27" s="1147" t="s">
        <v>15</v>
      </c>
      <c r="B27" s="1147"/>
      <c r="C27" s="1147"/>
      <c r="D27" s="1147"/>
      <c r="E27" s="1147"/>
      <c r="F27" s="1147"/>
      <c r="G27" s="1147"/>
      <c r="H27" s="1147"/>
      <c r="I27" s="1147"/>
      <c r="J27" s="1147"/>
      <c r="K27" s="1147"/>
      <c r="L27" s="138" t="s">
        <v>331</v>
      </c>
    </row>
  </sheetData>
  <sheetProtection algorithmName="SHA-512" hashValue="0KNrs6kR717NinOnlWUtjiFRwgdWA9pnHduOz7nhZeqOvhYnPxisTCpXdl62Gk2kNqkaymUTCVfAaYJm+aoSuA==" saltValue="EnSii8k/MfzRknqQG/pjsg==" spinCount="100000" sheet="1" objects="1" scenarios="1"/>
  <mergeCells count="69">
    <mergeCell ref="G6:H6"/>
    <mergeCell ref="G7:H7"/>
    <mergeCell ref="G8:H8"/>
    <mergeCell ref="G9:H9"/>
    <mergeCell ref="I6:K6"/>
    <mergeCell ref="I7:K7"/>
    <mergeCell ref="I8:K8"/>
    <mergeCell ref="I9:K9"/>
    <mergeCell ref="J14:K14"/>
    <mergeCell ref="J15:K15"/>
    <mergeCell ref="H12:I12"/>
    <mergeCell ref="H13:I13"/>
    <mergeCell ref="F21:H21"/>
    <mergeCell ref="J16:K16"/>
    <mergeCell ref="A15:F15"/>
    <mergeCell ref="A14:F14"/>
    <mergeCell ref="C19:K19"/>
    <mergeCell ref="I21:K21"/>
    <mergeCell ref="H14:I14"/>
    <mergeCell ref="A21:C21"/>
    <mergeCell ref="J17:K17"/>
    <mergeCell ref="A19:B19"/>
    <mergeCell ref="A20:K20"/>
    <mergeCell ref="D21:E21"/>
    <mergeCell ref="D2:K2"/>
    <mergeCell ref="D3:K3"/>
    <mergeCell ref="D4:F4"/>
    <mergeCell ref="D5:K5"/>
    <mergeCell ref="A1:C5"/>
    <mergeCell ref="D1:K1"/>
    <mergeCell ref="G4:K4"/>
    <mergeCell ref="B6:F6"/>
    <mergeCell ref="E8:F8"/>
    <mergeCell ref="B8:C8"/>
    <mergeCell ref="J12:K12"/>
    <mergeCell ref="J13:K13"/>
    <mergeCell ref="A10:G10"/>
    <mergeCell ref="A11:F11"/>
    <mergeCell ref="H11:I11"/>
    <mergeCell ref="J10:K10"/>
    <mergeCell ref="H10:I10"/>
    <mergeCell ref="J11:K11"/>
    <mergeCell ref="B7:C7"/>
    <mergeCell ref="B9:F9"/>
    <mergeCell ref="E7:F7"/>
    <mergeCell ref="A13:F13"/>
    <mergeCell ref="A12:F12"/>
    <mergeCell ref="H15:I15"/>
    <mergeCell ref="H16:I16"/>
    <mergeCell ref="H17:I17"/>
    <mergeCell ref="H18:K18"/>
    <mergeCell ref="A16:F16"/>
    <mergeCell ref="A17:F17"/>
    <mergeCell ref="A18:F18"/>
    <mergeCell ref="A27:K27"/>
    <mergeCell ref="A25:K25"/>
    <mergeCell ref="A26:K26"/>
    <mergeCell ref="D22:E22"/>
    <mergeCell ref="D23:E23"/>
    <mergeCell ref="D24:E24"/>
    <mergeCell ref="F23:H23"/>
    <mergeCell ref="F24:H24"/>
    <mergeCell ref="A22:C22"/>
    <mergeCell ref="A23:C23"/>
    <mergeCell ref="A24:C24"/>
    <mergeCell ref="I24:K24"/>
    <mergeCell ref="I23:K23"/>
    <mergeCell ref="F22:H22"/>
    <mergeCell ref="I22:K22"/>
  </mergeCells>
  <printOptions horizontalCentered="1"/>
  <pageMargins left="0.59055118110236227" right="0.19685039370078741" top="0" bottom="0" header="0" footer="0.78740157480314965"/>
  <pageSetup orientation="portrait" r:id="rId1"/>
  <headerFooter scaleWithDoc="0">
    <oddHeader xml:space="preserve">&amp;L&amp;"Eurostile Extended,Regular Negrita"&amp;16
</oddHeader>
    <oddFooter>&amp;L&amp;6Calle 26 No. 57-41 Torre 8 Pisos 7-8 CEMSA - CP: 1113111            
Pbx: 3779555  - Información: Línea 195     
www.umv.gov.co111311&amp;C&amp;6PRO-FM-021
Página 1 de 1</oddFooter>
  </headerFooter>
  <ignoredErrors>
    <ignoredError sqref="J24:K24" unlocked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firmas!$A$2:$A$26</xm:f>
          </x14:formula1>
          <xm:sqref>D23:E23</xm:sqref>
        </x14:dataValidation>
        <x14:dataValidation type="list" allowBlank="1" showInputMessage="1" showErrorMessage="1">
          <x14:formula1>
            <xm:f>firmas!$A$28:$A$31</xm:f>
          </x14:formula1>
          <xm:sqref>F23:H23</xm:sqref>
        </x14:dataValidation>
        <x14:dataValidation type="list" allowBlank="1" showInputMessage="1" showErrorMessage="1">
          <x14:formula1>
            <xm:f>firmas!$A$33:$A$35</xm:f>
          </x14:formula1>
          <xm:sqref>I23:K23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U39"/>
  <sheetViews>
    <sheetView showGridLines="0" view="pageBreakPreview" topLeftCell="A19" zoomScaleSheetLayoutView="100" workbookViewId="0">
      <selection activeCell="B35" sqref="B35:K35"/>
    </sheetView>
  </sheetViews>
  <sheetFormatPr baseColWidth="10" defaultColWidth="9.140625" defaultRowHeight="12.75"/>
  <cols>
    <col min="1" max="1" width="5.7109375" style="755" customWidth="1"/>
    <col min="2" max="2" width="9.7109375" style="755" customWidth="1"/>
    <col min="3" max="6" width="8.7109375" style="755" customWidth="1"/>
    <col min="7" max="7" width="11" style="755" customWidth="1"/>
    <col min="8" max="11" width="8.7109375" style="755" customWidth="1"/>
    <col min="12" max="12" width="9.140625" style="755"/>
    <col min="13" max="17" width="10.42578125" style="755" customWidth="1"/>
    <col min="18" max="256" width="9.140625" style="755"/>
    <col min="257" max="257" width="5.7109375" style="755" customWidth="1"/>
    <col min="258" max="258" width="9.7109375" style="755" customWidth="1"/>
    <col min="259" max="267" width="8.7109375" style="755" customWidth="1"/>
    <col min="268" max="268" width="9.140625" style="755"/>
    <col min="269" max="273" width="10.42578125" style="755" customWidth="1"/>
    <col min="274" max="512" width="9.140625" style="755"/>
    <col min="513" max="513" width="5.7109375" style="755" customWidth="1"/>
    <col min="514" max="514" width="9.7109375" style="755" customWidth="1"/>
    <col min="515" max="523" width="8.7109375" style="755" customWidth="1"/>
    <col min="524" max="524" width="9.140625" style="755"/>
    <col min="525" max="529" width="10.42578125" style="755" customWidth="1"/>
    <col min="530" max="768" width="9.140625" style="755"/>
    <col min="769" max="769" width="5.7109375" style="755" customWidth="1"/>
    <col min="770" max="770" width="9.7109375" style="755" customWidth="1"/>
    <col min="771" max="779" width="8.7109375" style="755" customWidth="1"/>
    <col min="780" max="780" width="9.140625" style="755"/>
    <col min="781" max="785" width="10.42578125" style="755" customWidth="1"/>
    <col min="786" max="1024" width="9.140625" style="755"/>
    <col min="1025" max="1025" width="5.7109375" style="755" customWidth="1"/>
    <col min="1026" max="1026" width="9.7109375" style="755" customWidth="1"/>
    <col min="1027" max="1035" width="8.7109375" style="755" customWidth="1"/>
    <col min="1036" max="1036" width="9.140625" style="755"/>
    <col min="1037" max="1041" width="10.42578125" style="755" customWidth="1"/>
    <col min="1042" max="1280" width="9.140625" style="755"/>
    <col min="1281" max="1281" width="5.7109375" style="755" customWidth="1"/>
    <col min="1282" max="1282" width="9.7109375" style="755" customWidth="1"/>
    <col min="1283" max="1291" width="8.7109375" style="755" customWidth="1"/>
    <col min="1292" max="1292" width="9.140625" style="755"/>
    <col min="1293" max="1297" width="10.42578125" style="755" customWidth="1"/>
    <col min="1298" max="1536" width="9.140625" style="755"/>
    <col min="1537" max="1537" width="5.7109375" style="755" customWidth="1"/>
    <col min="1538" max="1538" width="9.7109375" style="755" customWidth="1"/>
    <col min="1539" max="1547" width="8.7109375" style="755" customWidth="1"/>
    <col min="1548" max="1548" width="9.140625" style="755"/>
    <col min="1549" max="1553" width="10.42578125" style="755" customWidth="1"/>
    <col min="1554" max="1792" width="9.140625" style="755"/>
    <col min="1793" max="1793" width="5.7109375" style="755" customWidth="1"/>
    <col min="1794" max="1794" width="9.7109375" style="755" customWidth="1"/>
    <col min="1795" max="1803" width="8.7109375" style="755" customWidth="1"/>
    <col min="1804" max="1804" width="9.140625" style="755"/>
    <col min="1805" max="1809" width="10.42578125" style="755" customWidth="1"/>
    <col min="1810" max="2048" width="9.140625" style="755"/>
    <col min="2049" max="2049" width="5.7109375" style="755" customWidth="1"/>
    <col min="2050" max="2050" width="9.7109375" style="755" customWidth="1"/>
    <col min="2051" max="2059" width="8.7109375" style="755" customWidth="1"/>
    <col min="2060" max="2060" width="9.140625" style="755"/>
    <col min="2061" max="2065" width="10.42578125" style="755" customWidth="1"/>
    <col min="2066" max="2304" width="9.140625" style="755"/>
    <col min="2305" max="2305" width="5.7109375" style="755" customWidth="1"/>
    <col min="2306" max="2306" width="9.7109375" style="755" customWidth="1"/>
    <col min="2307" max="2315" width="8.7109375" style="755" customWidth="1"/>
    <col min="2316" max="2316" width="9.140625" style="755"/>
    <col min="2317" max="2321" width="10.42578125" style="755" customWidth="1"/>
    <col min="2322" max="2560" width="9.140625" style="755"/>
    <col min="2561" max="2561" width="5.7109375" style="755" customWidth="1"/>
    <col min="2562" max="2562" width="9.7109375" style="755" customWidth="1"/>
    <col min="2563" max="2571" width="8.7109375" style="755" customWidth="1"/>
    <col min="2572" max="2572" width="9.140625" style="755"/>
    <col min="2573" max="2577" width="10.42578125" style="755" customWidth="1"/>
    <col min="2578" max="2816" width="9.140625" style="755"/>
    <col min="2817" max="2817" width="5.7109375" style="755" customWidth="1"/>
    <col min="2818" max="2818" width="9.7109375" style="755" customWidth="1"/>
    <col min="2819" max="2827" width="8.7109375" style="755" customWidth="1"/>
    <col min="2828" max="2828" width="9.140625" style="755"/>
    <col min="2829" max="2833" width="10.42578125" style="755" customWidth="1"/>
    <col min="2834" max="3072" width="9.140625" style="755"/>
    <col min="3073" max="3073" width="5.7109375" style="755" customWidth="1"/>
    <col min="3074" max="3074" width="9.7109375" style="755" customWidth="1"/>
    <col min="3075" max="3083" width="8.7109375" style="755" customWidth="1"/>
    <col min="3084" max="3084" width="9.140625" style="755"/>
    <col min="3085" max="3089" width="10.42578125" style="755" customWidth="1"/>
    <col min="3090" max="3328" width="9.140625" style="755"/>
    <col min="3329" max="3329" width="5.7109375" style="755" customWidth="1"/>
    <col min="3330" max="3330" width="9.7109375" style="755" customWidth="1"/>
    <col min="3331" max="3339" width="8.7109375" style="755" customWidth="1"/>
    <col min="3340" max="3340" width="9.140625" style="755"/>
    <col min="3341" max="3345" width="10.42578125" style="755" customWidth="1"/>
    <col min="3346" max="3584" width="9.140625" style="755"/>
    <col min="3585" max="3585" width="5.7109375" style="755" customWidth="1"/>
    <col min="3586" max="3586" width="9.7109375" style="755" customWidth="1"/>
    <col min="3587" max="3595" width="8.7109375" style="755" customWidth="1"/>
    <col min="3596" max="3596" width="9.140625" style="755"/>
    <col min="3597" max="3601" width="10.42578125" style="755" customWidth="1"/>
    <col min="3602" max="3840" width="9.140625" style="755"/>
    <col min="3841" max="3841" width="5.7109375" style="755" customWidth="1"/>
    <col min="3842" max="3842" width="9.7109375" style="755" customWidth="1"/>
    <col min="3843" max="3851" width="8.7109375" style="755" customWidth="1"/>
    <col min="3852" max="3852" width="9.140625" style="755"/>
    <col min="3853" max="3857" width="10.42578125" style="755" customWidth="1"/>
    <col min="3858" max="4096" width="9.140625" style="755"/>
    <col min="4097" max="4097" width="5.7109375" style="755" customWidth="1"/>
    <col min="4098" max="4098" width="9.7109375" style="755" customWidth="1"/>
    <col min="4099" max="4107" width="8.7109375" style="755" customWidth="1"/>
    <col min="4108" max="4108" width="9.140625" style="755"/>
    <col min="4109" max="4113" width="10.42578125" style="755" customWidth="1"/>
    <col min="4114" max="4352" width="9.140625" style="755"/>
    <col min="4353" max="4353" width="5.7109375" style="755" customWidth="1"/>
    <col min="4354" max="4354" width="9.7109375" style="755" customWidth="1"/>
    <col min="4355" max="4363" width="8.7109375" style="755" customWidth="1"/>
    <col min="4364" max="4364" width="9.140625" style="755"/>
    <col min="4365" max="4369" width="10.42578125" style="755" customWidth="1"/>
    <col min="4370" max="4608" width="9.140625" style="755"/>
    <col min="4609" max="4609" width="5.7109375" style="755" customWidth="1"/>
    <col min="4610" max="4610" width="9.7109375" style="755" customWidth="1"/>
    <col min="4611" max="4619" width="8.7109375" style="755" customWidth="1"/>
    <col min="4620" max="4620" width="9.140625" style="755"/>
    <col min="4621" max="4625" width="10.42578125" style="755" customWidth="1"/>
    <col min="4626" max="4864" width="9.140625" style="755"/>
    <col min="4865" max="4865" width="5.7109375" style="755" customWidth="1"/>
    <col min="4866" max="4866" width="9.7109375" style="755" customWidth="1"/>
    <col min="4867" max="4875" width="8.7109375" style="755" customWidth="1"/>
    <col min="4876" max="4876" width="9.140625" style="755"/>
    <col min="4877" max="4881" width="10.42578125" style="755" customWidth="1"/>
    <col min="4882" max="5120" width="9.140625" style="755"/>
    <col min="5121" max="5121" width="5.7109375" style="755" customWidth="1"/>
    <col min="5122" max="5122" width="9.7109375" style="755" customWidth="1"/>
    <col min="5123" max="5131" width="8.7109375" style="755" customWidth="1"/>
    <col min="5132" max="5132" width="9.140625" style="755"/>
    <col min="5133" max="5137" width="10.42578125" style="755" customWidth="1"/>
    <col min="5138" max="5376" width="9.140625" style="755"/>
    <col min="5377" max="5377" width="5.7109375" style="755" customWidth="1"/>
    <col min="5378" max="5378" width="9.7109375" style="755" customWidth="1"/>
    <col min="5379" max="5387" width="8.7109375" style="755" customWidth="1"/>
    <col min="5388" max="5388" width="9.140625" style="755"/>
    <col min="5389" max="5393" width="10.42578125" style="755" customWidth="1"/>
    <col min="5394" max="5632" width="9.140625" style="755"/>
    <col min="5633" max="5633" width="5.7109375" style="755" customWidth="1"/>
    <col min="5634" max="5634" width="9.7109375" style="755" customWidth="1"/>
    <col min="5635" max="5643" width="8.7109375" style="755" customWidth="1"/>
    <col min="5644" max="5644" width="9.140625" style="755"/>
    <col min="5645" max="5649" width="10.42578125" style="755" customWidth="1"/>
    <col min="5650" max="5888" width="9.140625" style="755"/>
    <col min="5889" max="5889" width="5.7109375" style="755" customWidth="1"/>
    <col min="5890" max="5890" width="9.7109375" style="755" customWidth="1"/>
    <col min="5891" max="5899" width="8.7109375" style="755" customWidth="1"/>
    <col min="5900" max="5900" width="9.140625" style="755"/>
    <col min="5901" max="5905" width="10.42578125" style="755" customWidth="1"/>
    <col min="5906" max="6144" width="9.140625" style="755"/>
    <col min="6145" max="6145" width="5.7109375" style="755" customWidth="1"/>
    <col min="6146" max="6146" width="9.7109375" style="755" customWidth="1"/>
    <col min="6147" max="6155" width="8.7109375" style="755" customWidth="1"/>
    <col min="6156" max="6156" width="9.140625" style="755"/>
    <col min="6157" max="6161" width="10.42578125" style="755" customWidth="1"/>
    <col min="6162" max="6400" width="9.140625" style="755"/>
    <col min="6401" max="6401" width="5.7109375" style="755" customWidth="1"/>
    <col min="6402" max="6402" width="9.7109375" style="755" customWidth="1"/>
    <col min="6403" max="6411" width="8.7109375" style="755" customWidth="1"/>
    <col min="6412" max="6412" width="9.140625" style="755"/>
    <col min="6413" max="6417" width="10.42578125" style="755" customWidth="1"/>
    <col min="6418" max="6656" width="9.140625" style="755"/>
    <col min="6657" max="6657" width="5.7109375" style="755" customWidth="1"/>
    <col min="6658" max="6658" width="9.7109375" style="755" customWidth="1"/>
    <col min="6659" max="6667" width="8.7109375" style="755" customWidth="1"/>
    <col min="6668" max="6668" width="9.140625" style="755"/>
    <col min="6669" max="6673" width="10.42578125" style="755" customWidth="1"/>
    <col min="6674" max="6912" width="9.140625" style="755"/>
    <col min="6913" max="6913" width="5.7109375" style="755" customWidth="1"/>
    <col min="6914" max="6914" width="9.7109375" style="755" customWidth="1"/>
    <col min="6915" max="6923" width="8.7109375" style="755" customWidth="1"/>
    <col min="6924" max="6924" width="9.140625" style="755"/>
    <col min="6925" max="6929" width="10.42578125" style="755" customWidth="1"/>
    <col min="6930" max="7168" width="9.140625" style="755"/>
    <col min="7169" max="7169" width="5.7109375" style="755" customWidth="1"/>
    <col min="7170" max="7170" width="9.7109375" style="755" customWidth="1"/>
    <col min="7171" max="7179" width="8.7109375" style="755" customWidth="1"/>
    <col min="7180" max="7180" width="9.140625" style="755"/>
    <col min="7181" max="7185" width="10.42578125" style="755" customWidth="1"/>
    <col min="7186" max="7424" width="9.140625" style="755"/>
    <col min="7425" max="7425" width="5.7109375" style="755" customWidth="1"/>
    <col min="7426" max="7426" width="9.7109375" style="755" customWidth="1"/>
    <col min="7427" max="7435" width="8.7109375" style="755" customWidth="1"/>
    <col min="7436" max="7436" width="9.140625" style="755"/>
    <col min="7437" max="7441" width="10.42578125" style="755" customWidth="1"/>
    <col min="7442" max="7680" width="9.140625" style="755"/>
    <col min="7681" max="7681" width="5.7109375" style="755" customWidth="1"/>
    <col min="7682" max="7682" width="9.7109375" style="755" customWidth="1"/>
    <col min="7683" max="7691" width="8.7109375" style="755" customWidth="1"/>
    <col min="7692" max="7692" width="9.140625" style="755"/>
    <col min="7693" max="7697" width="10.42578125" style="755" customWidth="1"/>
    <col min="7698" max="7936" width="9.140625" style="755"/>
    <col min="7937" max="7937" width="5.7109375" style="755" customWidth="1"/>
    <col min="7938" max="7938" width="9.7109375" style="755" customWidth="1"/>
    <col min="7939" max="7947" width="8.7109375" style="755" customWidth="1"/>
    <col min="7948" max="7948" width="9.140625" style="755"/>
    <col min="7949" max="7953" width="10.42578125" style="755" customWidth="1"/>
    <col min="7954" max="8192" width="9.140625" style="755"/>
    <col min="8193" max="8193" width="5.7109375" style="755" customWidth="1"/>
    <col min="8194" max="8194" width="9.7109375" style="755" customWidth="1"/>
    <col min="8195" max="8203" width="8.7109375" style="755" customWidth="1"/>
    <col min="8204" max="8204" width="9.140625" style="755"/>
    <col min="8205" max="8209" width="10.42578125" style="755" customWidth="1"/>
    <col min="8210" max="8448" width="9.140625" style="755"/>
    <col min="8449" max="8449" width="5.7109375" style="755" customWidth="1"/>
    <col min="8450" max="8450" width="9.7109375" style="755" customWidth="1"/>
    <col min="8451" max="8459" width="8.7109375" style="755" customWidth="1"/>
    <col min="8460" max="8460" width="9.140625" style="755"/>
    <col min="8461" max="8465" width="10.42578125" style="755" customWidth="1"/>
    <col min="8466" max="8704" width="9.140625" style="755"/>
    <col min="8705" max="8705" width="5.7109375" style="755" customWidth="1"/>
    <col min="8706" max="8706" width="9.7109375" style="755" customWidth="1"/>
    <col min="8707" max="8715" width="8.7109375" style="755" customWidth="1"/>
    <col min="8716" max="8716" width="9.140625" style="755"/>
    <col min="8717" max="8721" width="10.42578125" style="755" customWidth="1"/>
    <col min="8722" max="8960" width="9.140625" style="755"/>
    <col min="8961" max="8961" width="5.7109375" style="755" customWidth="1"/>
    <col min="8962" max="8962" width="9.7109375" style="755" customWidth="1"/>
    <col min="8963" max="8971" width="8.7109375" style="755" customWidth="1"/>
    <col min="8972" max="8972" width="9.140625" style="755"/>
    <col min="8973" max="8977" width="10.42578125" style="755" customWidth="1"/>
    <col min="8978" max="9216" width="9.140625" style="755"/>
    <col min="9217" max="9217" width="5.7109375" style="755" customWidth="1"/>
    <col min="9218" max="9218" width="9.7109375" style="755" customWidth="1"/>
    <col min="9219" max="9227" width="8.7109375" style="755" customWidth="1"/>
    <col min="9228" max="9228" width="9.140625" style="755"/>
    <col min="9229" max="9233" width="10.42578125" style="755" customWidth="1"/>
    <col min="9234" max="9472" width="9.140625" style="755"/>
    <col min="9473" max="9473" width="5.7109375" style="755" customWidth="1"/>
    <col min="9474" max="9474" width="9.7109375" style="755" customWidth="1"/>
    <col min="9475" max="9483" width="8.7109375" style="755" customWidth="1"/>
    <col min="9484" max="9484" width="9.140625" style="755"/>
    <col min="9485" max="9489" width="10.42578125" style="755" customWidth="1"/>
    <col min="9490" max="9728" width="9.140625" style="755"/>
    <col min="9729" max="9729" width="5.7109375" style="755" customWidth="1"/>
    <col min="9730" max="9730" width="9.7109375" style="755" customWidth="1"/>
    <col min="9731" max="9739" width="8.7109375" style="755" customWidth="1"/>
    <col min="9740" max="9740" width="9.140625" style="755"/>
    <col min="9741" max="9745" width="10.42578125" style="755" customWidth="1"/>
    <col min="9746" max="9984" width="9.140625" style="755"/>
    <col min="9985" max="9985" width="5.7109375" style="755" customWidth="1"/>
    <col min="9986" max="9986" width="9.7109375" style="755" customWidth="1"/>
    <col min="9987" max="9995" width="8.7109375" style="755" customWidth="1"/>
    <col min="9996" max="9996" width="9.140625" style="755"/>
    <col min="9997" max="10001" width="10.42578125" style="755" customWidth="1"/>
    <col min="10002" max="10240" width="9.140625" style="755"/>
    <col min="10241" max="10241" width="5.7109375" style="755" customWidth="1"/>
    <col min="10242" max="10242" width="9.7109375" style="755" customWidth="1"/>
    <col min="10243" max="10251" width="8.7109375" style="755" customWidth="1"/>
    <col min="10252" max="10252" width="9.140625" style="755"/>
    <col min="10253" max="10257" width="10.42578125" style="755" customWidth="1"/>
    <col min="10258" max="10496" width="9.140625" style="755"/>
    <col min="10497" max="10497" width="5.7109375" style="755" customWidth="1"/>
    <col min="10498" max="10498" width="9.7109375" style="755" customWidth="1"/>
    <col min="10499" max="10507" width="8.7109375" style="755" customWidth="1"/>
    <col min="10508" max="10508" width="9.140625" style="755"/>
    <col min="10509" max="10513" width="10.42578125" style="755" customWidth="1"/>
    <col min="10514" max="10752" width="9.140625" style="755"/>
    <col min="10753" max="10753" width="5.7109375" style="755" customWidth="1"/>
    <col min="10754" max="10754" width="9.7109375" style="755" customWidth="1"/>
    <col min="10755" max="10763" width="8.7109375" style="755" customWidth="1"/>
    <col min="10764" max="10764" width="9.140625" style="755"/>
    <col min="10765" max="10769" width="10.42578125" style="755" customWidth="1"/>
    <col min="10770" max="11008" width="9.140625" style="755"/>
    <col min="11009" max="11009" width="5.7109375" style="755" customWidth="1"/>
    <col min="11010" max="11010" width="9.7109375" style="755" customWidth="1"/>
    <col min="11011" max="11019" width="8.7109375" style="755" customWidth="1"/>
    <col min="11020" max="11020" width="9.140625" style="755"/>
    <col min="11021" max="11025" width="10.42578125" style="755" customWidth="1"/>
    <col min="11026" max="11264" width="9.140625" style="755"/>
    <col min="11265" max="11265" width="5.7109375" style="755" customWidth="1"/>
    <col min="11266" max="11266" width="9.7109375" style="755" customWidth="1"/>
    <col min="11267" max="11275" width="8.7109375" style="755" customWidth="1"/>
    <col min="11276" max="11276" width="9.140625" style="755"/>
    <col min="11277" max="11281" width="10.42578125" style="755" customWidth="1"/>
    <col min="11282" max="11520" width="9.140625" style="755"/>
    <col min="11521" max="11521" width="5.7109375" style="755" customWidth="1"/>
    <col min="11522" max="11522" width="9.7109375" style="755" customWidth="1"/>
    <col min="11523" max="11531" width="8.7109375" style="755" customWidth="1"/>
    <col min="11532" max="11532" width="9.140625" style="755"/>
    <col min="11533" max="11537" width="10.42578125" style="755" customWidth="1"/>
    <col min="11538" max="11776" width="9.140625" style="755"/>
    <col min="11777" max="11777" width="5.7109375" style="755" customWidth="1"/>
    <col min="11778" max="11778" width="9.7109375" style="755" customWidth="1"/>
    <col min="11779" max="11787" width="8.7109375" style="755" customWidth="1"/>
    <col min="11788" max="11788" width="9.140625" style="755"/>
    <col min="11789" max="11793" width="10.42578125" style="755" customWidth="1"/>
    <col min="11794" max="12032" width="9.140625" style="755"/>
    <col min="12033" max="12033" width="5.7109375" style="755" customWidth="1"/>
    <col min="12034" max="12034" width="9.7109375" style="755" customWidth="1"/>
    <col min="12035" max="12043" width="8.7109375" style="755" customWidth="1"/>
    <col min="12044" max="12044" width="9.140625" style="755"/>
    <col min="12045" max="12049" width="10.42578125" style="755" customWidth="1"/>
    <col min="12050" max="12288" width="9.140625" style="755"/>
    <col min="12289" max="12289" width="5.7109375" style="755" customWidth="1"/>
    <col min="12290" max="12290" width="9.7109375" style="755" customWidth="1"/>
    <col min="12291" max="12299" width="8.7109375" style="755" customWidth="1"/>
    <col min="12300" max="12300" width="9.140625" style="755"/>
    <col min="12301" max="12305" width="10.42578125" style="755" customWidth="1"/>
    <col min="12306" max="12544" width="9.140625" style="755"/>
    <col min="12545" max="12545" width="5.7109375" style="755" customWidth="1"/>
    <col min="12546" max="12546" width="9.7109375" style="755" customWidth="1"/>
    <col min="12547" max="12555" width="8.7109375" style="755" customWidth="1"/>
    <col min="12556" max="12556" width="9.140625" style="755"/>
    <col min="12557" max="12561" width="10.42578125" style="755" customWidth="1"/>
    <col min="12562" max="12800" width="9.140625" style="755"/>
    <col min="12801" max="12801" width="5.7109375" style="755" customWidth="1"/>
    <col min="12802" max="12802" width="9.7109375" style="755" customWidth="1"/>
    <col min="12803" max="12811" width="8.7109375" style="755" customWidth="1"/>
    <col min="12812" max="12812" width="9.140625" style="755"/>
    <col min="12813" max="12817" width="10.42578125" style="755" customWidth="1"/>
    <col min="12818" max="13056" width="9.140625" style="755"/>
    <col min="13057" max="13057" width="5.7109375" style="755" customWidth="1"/>
    <col min="13058" max="13058" width="9.7109375" style="755" customWidth="1"/>
    <col min="13059" max="13067" width="8.7109375" style="755" customWidth="1"/>
    <col min="13068" max="13068" width="9.140625" style="755"/>
    <col min="13069" max="13073" width="10.42578125" style="755" customWidth="1"/>
    <col min="13074" max="13312" width="9.140625" style="755"/>
    <col min="13313" max="13313" width="5.7109375" style="755" customWidth="1"/>
    <col min="13314" max="13314" width="9.7109375" style="755" customWidth="1"/>
    <col min="13315" max="13323" width="8.7109375" style="755" customWidth="1"/>
    <col min="13324" max="13324" width="9.140625" style="755"/>
    <col min="13325" max="13329" width="10.42578125" style="755" customWidth="1"/>
    <col min="13330" max="13568" width="9.140625" style="755"/>
    <col min="13569" max="13569" width="5.7109375" style="755" customWidth="1"/>
    <col min="13570" max="13570" width="9.7109375" style="755" customWidth="1"/>
    <col min="13571" max="13579" width="8.7109375" style="755" customWidth="1"/>
    <col min="13580" max="13580" width="9.140625" style="755"/>
    <col min="13581" max="13585" width="10.42578125" style="755" customWidth="1"/>
    <col min="13586" max="13824" width="9.140625" style="755"/>
    <col min="13825" max="13825" width="5.7109375" style="755" customWidth="1"/>
    <col min="13826" max="13826" width="9.7109375" style="755" customWidth="1"/>
    <col min="13827" max="13835" width="8.7109375" style="755" customWidth="1"/>
    <col min="13836" max="13836" width="9.140625" style="755"/>
    <col min="13837" max="13841" width="10.42578125" style="755" customWidth="1"/>
    <col min="13842" max="14080" width="9.140625" style="755"/>
    <col min="14081" max="14081" width="5.7109375" style="755" customWidth="1"/>
    <col min="14082" max="14082" width="9.7109375" style="755" customWidth="1"/>
    <col min="14083" max="14091" width="8.7109375" style="755" customWidth="1"/>
    <col min="14092" max="14092" width="9.140625" style="755"/>
    <col min="14093" max="14097" width="10.42578125" style="755" customWidth="1"/>
    <col min="14098" max="14336" width="9.140625" style="755"/>
    <col min="14337" max="14337" width="5.7109375" style="755" customWidth="1"/>
    <col min="14338" max="14338" width="9.7109375" style="755" customWidth="1"/>
    <col min="14339" max="14347" width="8.7109375" style="755" customWidth="1"/>
    <col min="14348" max="14348" width="9.140625" style="755"/>
    <col min="14349" max="14353" width="10.42578125" style="755" customWidth="1"/>
    <col min="14354" max="14592" width="9.140625" style="755"/>
    <col min="14593" max="14593" width="5.7109375" style="755" customWidth="1"/>
    <col min="14594" max="14594" width="9.7109375" style="755" customWidth="1"/>
    <col min="14595" max="14603" width="8.7109375" style="755" customWidth="1"/>
    <col min="14604" max="14604" width="9.140625" style="755"/>
    <col min="14605" max="14609" width="10.42578125" style="755" customWidth="1"/>
    <col min="14610" max="14848" width="9.140625" style="755"/>
    <col min="14849" max="14849" width="5.7109375" style="755" customWidth="1"/>
    <col min="14850" max="14850" width="9.7109375" style="755" customWidth="1"/>
    <col min="14851" max="14859" width="8.7109375" style="755" customWidth="1"/>
    <col min="14860" max="14860" width="9.140625" style="755"/>
    <col min="14861" max="14865" width="10.42578125" style="755" customWidth="1"/>
    <col min="14866" max="15104" width="9.140625" style="755"/>
    <col min="15105" max="15105" width="5.7109375" style="755" customWidth="1"/>
    <col min="15106" max="15106" width="9.7109375" style="755" customWidth="1"/>
    <col min="15107" max="15115" width="8.7109375" style="755" customWidth="1"/>
    <col min="15116" max="15116" width="9.140625" style="755"/>
    <col min="15117" max="15121" width="10.42578125" style="755" customWidth="1"/>
    <col min="15122" max="15360" width="9.140625" style="755"/>
    <col min="15361" max="15361" width="5.7109375" style="755" customWidth="1"/>
    <col min="15362" max="15362" width="9.7109375" style="755" customWidth="1"/>
    <col min="15363" max="15371" width="8.7109375" style="755" customWidth="1"/>
    <col min="15372" max="15372" width="9.140625" style="755"/>
    <col min="15373" max="15377" width="10.42578125" style="755" customWidth="1"/>
    <col min="15378" max="15616" width="9.140625" style="755"/>
    <col min="15617" max="15617" width="5.7109375" style="755" customWidth="1"/>
    <col min="15618" max="15618" width="9.7109375" style="755" customWidth="1"/>
    <col min="15619" max="15627" width="8.7109375" style="755" customWidth="1"/>
    <col min="15628" max="15628" width="9.140625" style="755"/>
    <col min="15629" max="15633" width="10.42578125" style="755" customWidth="1"/>
    <col min="15634" max="15872" width="9.140625" style="755"/>
    <col min="15873" max="15873" width="5.7109375" style="755" customWidth="1"/>
    <col min="15874" max="15874" width="9.7109375" style="755" customWidth="1"/>
    <col min="15875" max="15883" width="8.7109375" style="755" customWidth="1"/>
    <col min="15884" max="15884" width="9.140625" style="755"/>
    <col min="15885" max="15889" width="10.42578125" style="755" customWidth="1"/>
    <col min="15890" max="16128" width="9.140625" style="755"/>
    <col min="16129" max="16129" width="5.7109375" style="755" customWidth="1"/>
    <col min="16130" max="16130" width="9.7109375" style="755" customWidth="1"/>
    <col min="16131" max="16139" width="8.7109375" style="755" customWidth="1"/>
    <col min="16140" max="16140" width="9.140625" style="755"/>
    <col min="16141" max="16145" width="10.42578125" style="755" customWidth="1"/>
    <col min="16146" max="16384" width="9.140625" style="755"/>
  </cols>
  <sheetData>
    <row r="1" spans="1:17" s="731" customFormat="1" ht="15" customHeight="1">
      <c r="A1" s="730"/>
      <c r="B1" s="1251"/>
      <c r="C1" s="1252"/>
      <c r="D1" s="1253" t="s">
        <v>8</v>
      </c>
      <c r="E1" s="1254"/>
      <c r="F1" s="1254"/>
      <c r="G1" s="1254"/>
      <c r="H1" s="1254"/>
      <c r="I1" s="1254"/>
      <c r="J1" s="1254"/>
      <c r="K1" s="1255"/>
    </row>
    <row r="2" spans="1:17" s="731" customFormat="1" ht="15" customHeight="1">
      <c r="A2" s="732"/>
      <c r="B2" s="1251"/>
      <c r="C2" s="1252"/>
      <c r="D2" s="1256" t="s">
        <v>497</v>
      </c>
      <c r="E2" s="1257"/>
      <c r="F2" s="1257"/>
      <c r="G2" s="1257"/>
      <c r="H2" s="1257"/>
      <c r="I2" s="1257"/>
      <c r="J2" s="1257"/>
      <c r="K2" s="1258"/>
    </row>
    <row r="3" spans="1:17" s="731" customFormat="1" ht="15" customHeight="1">
      <c r="A3" s="732"/>
      <c r="B3" s="1251"/>
      <c r="C3" s="1252"/>
      <c r="D3" s="1259" t="s">
        <v>498</v>
      </c>
      <c r="E3" s="1260"/>
      <c r="F3" s="1260"/>
      <c r="G3" s="1260"/>
      <c r="H3" s="1260"/>
      <c r="I3" s="1260"/>
      <c r="J3" s="1260"/>
      <c r="K3" s="1261"/>
    </row>
    <row r="4" spans="1:17" s="731" customFormat="1" ht="12.95" customHeight="1">
      <c r="A4" s="732"/>
      <c r="B4" s="1251"/>
      <c r="C4" s="1252"/>
      <c r="D4" s="1262" t="s">
        <v>499</v>
      </c>
      <c r="E4" s="1263"/>
      <c r="F4" s="1263"/>
      <c r="G4" s="1263"/>
      <c r="H4" s="1263"/>
      <c r="I4" s="1264"/>
      <c r="J4" s="1262" t="s">
        <v>426</v>
      </c>
      <c r="K4" s="1264"/>
    </row>
    <row r="5" spans="1:17" s="731" customFormat="1" ht="12.95" customHeight="1">
      <c r="A5" s="733"/>
      <c r="B5" s="1251"/>
      <c r="C5" s="1252"/>
      <c r="D5" s="1262" t="s">
        <v>466</v>
      </c>
      <c r="E5" s="1263"/>
      <c r="F5" s="1263"/>
      <c r="G5" s="1263"/>
      <c r="H5" s="1263"/>
      <c r="I5" s="1263"/>
      <c r="J5" s="1263"/>
      <c r="K5" s="1264"/>
    </row>
    <row r="6" spans="1:17" s="734" customFormat="1" ht="15" customHeight="1">
      <c r="A6" s="1265" t="s">
        <v>5</v>
      </c>
      <c r="B6" s="1266"/>
      <c r="C6" s="1266"/>
      <c r="D6" s="1267" t="e">
        <f>+IF(#REF!="","",#REF!)</f>
        <v>#REF!</v>
      </c>
      <c r="E6" s="1267"/>
      <c r="F6" s="1267"/>
      <c r="G6" s="1267"/>
      <c r="H6" s="1268" t="s">
        <v>229</v>
      </c>
      <c r="I6" s="1268"/>
      <c r="J6" s="1269"/>
      <c r="K6" s="1269"/>
    </row>
    <row r="7" spans="1:17" s="734" customFormat="1" ht="15" customHeight="1">
      <c r="A7" s="1270" t="s">
        <v>450</v>
      </c>
      <c r="B7" s="1271"/>
      <c r="C7" s="1271"/>
      <c r="D7" s="1272" t="e">
        <f>+IF(D6="","","N/A")</f>
        <v>#REF!</v>
      </c>
      <c r="E7" s="1272"/>
      <c r="F7" s="1272"/>
      <c r="G7" s="1272"/>
      <c r="H7" s="1271" t="s">
        <v>452</v>
      </c>
      <c r="I7" s="1271"/>
      <c r="J7" s="1273" t="e">
        <f>+IF(D6="","","N/A")</f>
        <v>#REF!</v>
      </c>
      <c r="K7" s="1273"/>
    </row>
    <row r="8" spans="1:17" s="734" customFormat="1" ht="15" customHeight="1">
      <c r="A8" s="1270" t="s">
        <v>451</v>
      </c>
      <c r="B8" s="1271"/>
      <c r="C8" s="1271"/>
      <c r="D8" s="1272" t="e">
        <f>+IF(#REF!="","",#REF!)</f>
        <v>#REF!</v>
      </c>
      <c r="E8" s="1272"/>
      <c r="F8" s="1272"/>
      <c r="G8" s="1272"/>
      <c r="H8" s="1271" t="s">
        <v>453</v>
      </c>
      <c r="I8" s="1271"/>
      <c r="J8" s="1274" t="e">
        <f>+IF(D6="","","N/A")</f>
        <v>#REF!</v>
      </c>
      <c r="K8" s="1274"/>
    </row>
    <row r="9" spans="1:17" s="734" customFormat="1" ht="15" customHeight="1">
      <c r="A9" s="1270" t="s">
        <v>323</v>
      </c>
      <c r="B9" s="1271"/>
      <c r="C9" s="1271"/>
      <c r="D9" s="1272" t="e">
        <f>+IF(#REF!="","",#REF!)</f>
        <v>#REF!</v>
      </c>
      <c r="E9" s="1272"/>
      <c r="F9" s="1272"/>
      <c r="G9" s="1272"/>
      <c r="H9" s="1271" t="s">
        <v>465</v>
      </c>
      <c r="I9" s="1271"/>
      <c r="J9" s="1274" t="e">
        <f>+IF(D6="","","N/A")</f>
        <v>#REF!</v>
      </c>
      <c r="K9" s="1274"/>
    </row>
    <row r="10" spans="1:17" s="734" customFormat="1" ht="15" customHeight="1">
      <c r="A10" s="1280" t="s">
        <v>6</v>
      </c>
      <c r="B10" s="1281"/>
      <c r="C10" s="1281"/>
      <c r="D10" s="1282" t="e">
        <f>+IF(#REF!="","",#REF!)</f>
        <v>#REF!</v>
      </c>
      <c r="E10" s="1282"/>
      <c r="F10" s="1282"/>
      <c r="G10" s="1282"/>
      <c r="H10" s="1275" t="s">
        <v>31</v>
      </c>
      <c r="I10" s="1275"/>
      <c r="J10" s="1276" t="e">
        <f>+IF(#REF!="","",#REF!)</f>
        <v>#REF!</v>
      </c>
      <c r="K10" s="1276"/>
    </row>
    <row r="11" spans="1:17" s="734" customFormat="1" ht="15" customHeight="1">
      <c r="A11" s="1280"/>
      <c r="B11" s="1281"/>
      <c r="C11" s="1281"/>
      <c r="D11" s="1282"/>
      <c r="E11" s="1282"/>
      <c r="F11" s="1282"/>
      <c r="G11" s="1282"/>
      <c r="H11" s="1283" t="s">
        <v>460</v>
      </c>
      <c r="I11" s="1283"/>
      <c r="J11" s="1276"/>
      <c r="K11" s="1276"/>
    </row>
    <row r="12" spans="1:17" s="734" customFormat="1" ht="15" customHeight="1">
      <c r="A12" s="1277" t="s">
        <v>454</v>
      </c>
      <c r="B12" s="1278"/>
      <c r="C12" s="1278"/>
      <c r="D12" s="1284" t="e">
        <f>+IF(D6="","","N/A")</f>
        <v>#REF!</v>
      </c>
      <c r="E12" s="1284"/>
      <c r="F12" s="757" t="s">
        <v>18</v>
      </c>
      <c r="G12" s="758" t="e">
        <f>+IF(#REF!="","",#REF!)</f>
        <v>#REF!</v>
      </c>
      <c r="H12" s="1285" t="s">
        <v>462</v>
      </c>
      <c r="I12" s="1285"/>
      <c r="J12" s="1279" t="e">
        <f>+IF(#REF!="","",#REF!)</f>
        <v>#REF!</v>
      </c>
      <c r="K12" s="1279"/>
    </row>
    <row r="13" spans="1:17" s="741" customFormat="1" ht="14.1" customHeight="1">
      <c r="A13" s="735"/>
      <c r="B13" s="736"/>
      <c r="C13" s="736"/>
      <c r="D13" s="736"/>
      <c r="E13" s="736"/>
      <c r="F13" s="737"/>
      <c r="G13" s="737"/>
      <c r="H13" s="737"/>
      <c r="I13" s="738"/>
      <c r="J13" s="739"/>
      <c r="K13" s="740"/>
    </row>
    <row r="14" spans="1:17" s="741" customFormat="1" ht="24.95" customHeight="1">
      <c r="A14" s="735"/>
      <c r="B14" s="736"/>
      <c r="C14" s="1292" t="s">
        <v>500</v>
      </c>
      <c r="D14" s="1293"/>
      <c r="E14" s="1293"/>
      <c r="F14" s="1293"/>
      <c r="G14" s="1293"/>
      <c r="H14" s="1293"/>
      <c r="I14" s="1293"/>
      <c r="J14" s="1294"/>
      <c r="K14" s="740"/>
    </row>
    <row r="15" spans="1:17" s="741" customFormat="1" ht="24.95" customHeight="1">
      <c r="A15" s="735"/>
      <c r="B15" s="742"/>
      <c r="C15" s="1295" t="s">
        <v>95</v>
      </c>
      <c r="D15" s="1296"/>
      <c r="E15" s="1296"/>
      <c r="F15" s="1296"/>
      <c r="G15" s="743" t="s">
        <v>96</v>
      </c>
      <c r="H15" s="1297"/>
      <c r="I15" s="1297"/>
      <c r="J15" s="1297"/>
      <c r="K15" s="744"/>
      <c r="M15" s="1291" t="s">
        <v>501</v>
      </c>
      <c r="N15" s="1286" t="s">
        <v>502</v>
      </c>
      <c r="O15" s="1286"/>
      <c r="P15" s="1286" t="s">
        <v>503</v>
      </c>
      <c r="Q15" s="1286"/>
    </row>
    <row r="16" spans="1:17" s="741" customFormat="1" ht="24.95" customHeight="1">
      <c r="A16" s="735"/>
      <c r="B16" s="742"/>
      <c r="C16" s="1287" t="s">
        <v>504</v>
      </c>
      <c r="D16" s="1288"/>
      <c r="E16" s="1288"/>
      <c r="F16" s="1288"/>
      <c r="G16" s="745"/>
      <c r="H16" s="1289"/>
      <c r="I16" s="1289"/>
      <c r="J16" s="1289"/>
      <c r="K16" s="744"/>
      <c r="M16" s="1291"/>
      <c r="N16" s="1290" t="s">
        <v>505</v>
      </c>
      <c r="O16" s="1291" t="s">
        <v>506</v>
      </c>
      <c r="P16" s="1290" t="s">
        <v>505</v>
      </c>
      <c r="Q16" s="1291" t="s">
        <v>506</v>
      </c>
    </row>
    <row r="17" spans="1:17" s="741" customFormat="1" ht="24.95" customHeight="1">
      <c r="A17" s="735"/>
      <c r="B17" s="742"/>
      <c r="C17" s="1287" t="s">
        <v>265</v>
      </c>
      <c r="D17" s="1288"/>
      <c r="E17" s="1288"/>
      <c r="F17" s="1288"/>
      <c r="G17" s="745" t="s">
        <v>96</v>
      </c>
      <c r="H17" s="1289"/>
      <c r="I17" s="1289"/>
      <c r="J17" s="1289"/>
      <c r="K17" s="744"/>
      <c r="M17" s="1291"/>
      <c r="N17" s="1290"/>
      <c r="O17" s="1291"/>
      <c r="P17" s="1290"/>
      <c r="Q17" s="1291"/>
    </row>
    <row r="18" spans="1:17" s="741" customFormat="1" ht="24.95" customHeight="1">
      <c r="A18" s="735"/>
      <c r="B18" s="742"/>
      <c r="C18" s="1298" t="s">
        <v>507</v>
      </c>
      <c r="D18" s="1299"/>
      <c r="E18" s="1299"/>
      <c r="F18" s="1299"/>
      <c r="G18" s="746" t="s">
        <v>97</v>
      </c>
      <c r="H18" s="1300"/>
      <c r="I18" s="1300"/>
      <c r="J18" s="1300"/>
      <c r="K18" s="747"/>
      <c r="M18" s="748" t="s">
        <v>235</v>
      </c>
      <c r="N18" s="748">
        <v>5</v>
      </c>
      <c r="O18" s="748">
        <v>10</v>
      </c>
      <c r="P18" s="748">
        <v>50</v>
      </c>
      <c r="Q18" s="748">
        <v>10</v>
      </c>
    </row>
    <row r="19" spans="1:17" s="741" customFormat="1" ht="24.95" customHeight="1">
      <c r="A19" s="735"/>
      <c r="B19" s="742"/>
      <c r="C19" s="1303" t="s">
        <v>541</v>
      </c>
      <c r="D19" s="1304"/>
      <c r="E19" s="1304"/>
      <c r="F19" s="1304"/>
      <c r="G19" s="1305"/>
      <c r="H19" s="1289"/>
      <c r="I19" s="1289"/>
      <c r="J19" s="1289"/>
      <c r="K19" s="744"/>
      <c r="M19" s="748" t="s">
        <v>49</v>
      </c>
      <c r="N19" s="748">
        <v>10</v>
      </c>
      <c r="O19" s="748">
        <v>10</v>
      </c>
      <c r="P19" s="748">
        <v>10</v>
      </c>
      <c r="Q19" s="748">
        <v>10</v>
      </c>
    </row>
    <row r="20" spans="1:17" s="784" customFormat="1" ht="23.25" customHeight="1">
      <c r="A20" s="780"/>
      <c r="B20" s="781"/>
      <c r="C20" s="1301" t="s">
        <v>542</v>
      </c>
      <c r="D20" s="1302"/>
      <c r="E20" s="1302"/>
      <c r="F20" s="1302"/>
      <c r="G20" s="782"/>
      <c r="H20" s="1246"/>
      <c r="I20" s="1246"/>
      <c r="J20" s="1246"/>
      <c r="K20" s="783"/>
      <c r="M20" s="785" t="s">
        <v>52</v>
      </c>
      <c r="N20" s="785">
        <v>250</v>
      </c>
      <c r="O20" s="785">
        <v>1</v>
      </c>
      <c r="P20" s="785">
        <v>2.5</v>
      </c>
      <c r="Q20" s="785">
        <v>1</v>
      </c>
    </row>
    <row r="21" spans="1:17" s="784" customFormat="1" ht="23.25" customHeight="1">
      <c r="A21" s="780"/>
      <c r="B21" s="781"/>
      <c r="C21" s="1247" t="s">
        <v>508</v>
      </c>
      <c r="D21" s="1248"/>
      <c r="E21" s="1248"/>
      <c r="F21" s="1248"/>
      <c r="G21" s="749" t="s">
        <v>543</v>
      </c>
      <c r="H21" s="1246"/>
      <c r="I21" s="1246"/>
      <c r="J21" s="1246"/>
      <c r="K21" s="783"/>
      <c r="M21" s="785" t="s">
        <v>56</v>
      </c>
      <c r="N21" s="785">
        <v>50</v>
      </c>
      <c r="O21" s="785">
        <v>0.1</v>
      </c>
      <c r="P21" s="785">
        <f>500/1000</f>
        <v>0.5</v>
      </c>
      <c r="Q21" s="785">
        <v>0.1</v>
      </c>
    </row>
    <row r="22" spans="1:17" s="784" customFormat="1" ht="23.25" customHeight="1">
      <c r="A22" s="780"/>
      <c r="B22" s="781"/>
      <c r="C22" s="1249"/>
      <c r="D22" s="1250"/>
      <c r="E22" s="1250"/>
      <c r="F22" s="1250"/>
      <c r="G22" s="749" t="s">
        <v>544</v>
      </c>
      <c r="H22" s="1246"/>
      <c r="I22" s="1246"/>
      <c r="J22" s="1246"/>
      <c r="K22" s="783"/>
      <c r="M22" s="785" t="s">
        <v>510</v>
      </c>
      <c r="N22" s="785">
        <v>20</v>
      </c>
      <c r="O22" s="785">
        <v>0.1</v>
      </c>
      <c r="P22" s="785">
        <v>0.1</v>
      </c>
      <c r="Q22" s="785">
        <v>0.1</v>
      </c>
    </row>
    <row r="23" spans="1:17" s="741" customFormat="1" ht="24.95" customHeight="1">
      <c r="A23" s="735"/>
      <c r="B23" s="742"/>
      <c r="C23" s="1298" t="s">
        <v>509</v>
      </c>
      <c r="D23" s="1299"/>
      <c r="E23" s="1299"/>
      <c r="F23" s="1299"/>
      <c r="G23" s="746" t="s">
        <v>82</v>
      </c>
      <c r="H23" s="1311"/>
      <c r="I23" s="1311"/>
      <c r="J23" s="1311"/>
      <c r="K23" s="747"/>
      <c r="M23" s="748" t="s">
        <v>512</v>
      </c>
      <c r="N23" s="748">
        <v>20</v>
      </c>
      <c r="O23" s="748">
        <v>0.1</v>
      </c>
      <c r="P23" s="748">
        <v>0.02</v>
      </c>
      <c r="Q23" s="748">
        <v>1E-3</v>
      </c>
    </row>
    <row r="24" spans="1:17" s="741" customFormat="1" ht="24.95" customHeight="1">
      <c r="A24" s="735"/>
      <c r="B24" s="742"/>
      <c r="C24" s="1298" t="s">
        <v>511</v>
      </c>
      <c r="D24" s="1299"/>
      <c r="E24" s="1299"/>
      <c r="F24" s="1299"/>
      <c r="G24" s="746" t="s">
        <v>82</v>
      </c>
      <c r="H24" s="1311"/>
      <c r="I24" s="1311"/>
      <c r="J24" s="1311"/>
      <c r="K24" s="747"/>
    </row>
    <row r="25" spans="1:17" s="741" customFormat="1" ht="24.95" customHeight="1">
      <c r="A25" s="735"/>
      <c r="B25" s="742"/>
      <c r="C25" s="1298" t="s">
        <v>513</v>
      </c>
      <c r="D25" s="1299"/>
      <c r="E25" s="1299"/>
      <c r="F25" s="1299"/>
      <c r="G25" s="746" t="s">
        <v>82</v>
      </c>
      <c r="H25" s="1311"/>
      <c r="I25" s="1311"/>
      <c r="J25" s="1311"/>
      <c r="K25" s="747"/>
    </row>
    <row r="26" spans="1:17" s="741" customFormat="1" ht="24.95" customHeight="1">
      <c r="A26" s="735"/>
      <c r="B26" s="742"/>
      <c r="C26" s="1312" t="s">
        <v>514</v>
      </c>
      <c r="D26" s="1313"/>
      <c r="E26" s="1313"/>
      <c r="F26" s="1313"/>
      <c r="G26" s="750" t="s">
        <v>86</v>
      </c>
      <c r="H26" s="1314" t="str">
        <f>+IF(H23="","",((H23-H24)/(H24-H25))*100)</f>
        <v/>
      </c>
      <c r="I26" s="1314"/>
      <c r="J26" s="1314"/>
      <c r="K26" s="751"/>
    </row>
    <row r="27" spans="1:17" s="72" customFormat="1" ht="14.1" customHeight="1">
      <c r="A27" s="752"/>
      <c r="B27" s="1315"/>
      <c r="C27" s="1316"/>
      <c r="D27" s="1316"/>
      <c r="E27" s="1316"/>
      <c r="F27" s="1316"/>
      <c r="G27" s="1316"/>
      <c r="H27" s="1315"/>
      <c r="I27" s="1315"/>
      <c r="J27" s="1315"/>
      <c r="K27" s="1317"/>
      <c r="L27" s="726"/>
    </row>
    <row r="28" spans="1:17" s="67" customFormat="1" ht="96" customHeight="1">
      <c r="A28" s="1318" t="s">
        <v>19</v>
      </c>
      <c r="B28" s="1319"/>
      <c r="C28" s="1320"/>
      <c r="D28" s="1320"/>
      <c r="E28" s="1320"/>
      <c r="F28" s="1320"/>
      <c r="G28" s="1320"/>
      <c r="H28" s="1320"/>
      <c r="I28" s="1320"/>
      <c r="J28" s="1320"/>
      <c r="K28" s="1321"/>
    </row>
    <row r="29" spans="1:17" s="67" customFormat="1" ht="14.1" customHeight="1">
      <c r="A29" s="1306"/>
      <c r="B29" s="1307"/>
      <c r="C29" s="1308" t="s">
        <v>9</v>
      </c>
      <c r="D29" s="1309"/>
      <c r="E29" s="1310"/>
      <c r="F29" s="1308" t="s">
        <v>21</v>
      </c>
      <c r="G29" s="1309"/>
      <c r="H29" s="1310"/>
      <c r="I29" s="1309" t="s">
        <v>22</v>
      </c>
      <c r="J29" s="1309"/>
      <c r="K29" s="1310"/>
    </row>
    <row r="30" spans="1:17" s="67" customFormat="1" ht="39.950000000000003" customHeight="1">
      <c r="A30" s="1322" t="s">
        <v>12</v>
      </c>
      <c r="B30" s="1323"/>
      <c r="C30" s="1217"/>
      <c r="D30" s="1218"/>
      <c r="E30" s="1219"/>
      <c r="F30" s="1324"/>
      <c r="G30" s="1325"/>
      <c r="H30" s="1326"/>
      <c r="I30" s="1325"/>
      <c r="J30" s="1325"/>
      <c r="K30" s="1326"/>
    </row>
    <row r="31" spans="1:17" s="67" customFormat="1" ht="12.95" customHeight="1">
      <c r="A31" s="1327" t="s">
        <v>455</v>
      </c>
      <c r="B31" s="1328"/>
      <c r="C31" s="1329" t="s">
        <v>410</v>
      </c>
      <c r="D31" s="1330"/>
      <c r="E31" s="1331"/>
      <c r="F31" s="1332" t="s">
        <v>410</v>
      </c>
      <c r="G31" s="1333"/>
      <c r="H31" s="1334"/>
      <c r="I31" s="1335" t="s">
        <v>410</v>
      </c>
      <c r="J31" s="1333"/>
      <c r="K31" s="1334"/>
    </row>
    <row r="32" spans="1:17" s="67" customFormat="1" ht="12.95" customHeight="1" thickBot="1">
      <c r="A32" s="1327" t="s">
        <v>13</v>
      </c>
      <c r="B32" s="1328"/>
      <c r="C32" s="1336" t="str">
        <f>IF(C31="--","",VLOOKUP(C31,firmas!A2:B26,2,0))</f>
        <v/>
      </c>
      <c r="D32" s="1330"/>
      <c r="E32" s="1331"/>
      <c r="F32" s="1337" t="str">
        <f>IF(F31="--","",VLOOKUP(F31,firmas!A28:B31,2,0))</f>
        <v/>
      </c>
      <c r="G32" s="1333"/>
      <c r="H32" s="1334"/>
      <c r="I32" s="1333" t="str">
        <f>IF(I31="--","",VLOOKUP(I31,[8]firmas!A33:B34,2))</f>
        <v/>
      </c>
      <c r="J32" s="1333"/>
      <c r="K32" s="1334"/>
    </row>
    <row r="33" spans="1:21" s="73" customFormat="1" ht="18" customHeight="1" thickTop="1" thickBot="1">
      <c r="A33" s="1079" t="s">
        <v>23</v>
      </c>
      <c r="B33" s="1079"/>
      <c r="C33" s="1079"/>
      <c r="D33" s="1079"/>
      <c r="E33" s="1079"/>
      <c r="F33" s="1079"/>
      <c r="G33" s="1079"/>
      <c r="H33" s="1079"/>
      <c r="I33" s="1079"/>
      <c r="J33" s="1079"/>
      <c r="K33" s="1079"/>
      <c r="L33" s="727"/>
      <c r="M33" s="727"/>
      <c r="N33" s="727"/>
      <c r="O33" s="727"/>
      <c r="P33" s="727"/>
      <c r="Q33" s="727"/>
      <c r="R33" s="727"/>
      <c r="S33" s="727"/>
      <c r="T33" s="727"/>
      <c r="U33" s="727"/>
    </row>
    <row r="34" spans="1:21" s="67" customFormat="1" ht="18.75" customHeight="1" thickTop="1">
      <c r="A34" s="753"/>
      <c r="B34" s="1338" t="s">
        <v>24</v>
      </c>
      <c r="C34" s="1338"/>
      <c r="D34" s="1338"/>
      <c r="E34" s="1338"/>
      <c r="F34" s="1338"/>
      <c r="G34" s="1338"/>
      <c r="H34" s="1338"/>
      <c r="I34" s="1338"/>
      <c r="J34" s="1338"/>
      <c r="K34" s="1338"/>
      <c r="L34" s="728"/>
      <c r="M34" s="728"/>
      <c r="N34" s="728"/>
      <c r="O34" s="728"/>
      <c r="P34" s="728"/>
      <c r="Q34" s="728"/>
      <c r="R34" s="728"/>
      <c r="S34" s="728"/>
      <c r="T34" s="728"/>
      <c r="U34" s="728"/>
    </row>
    <row r="35" spans="1:21" s="67" customFormat="1" ht="30" customHeight="1">
      <c r="A35" s="754"/>
      <c r="B35" s="1147" t="s">
        <v>15</v>
      </c>
      <c r="C35" s="1147"/>
      <c r="D35" s="1147"/>
      <c r="E35" s="1147"/>
      <c r="F35" s="1147"/>
      <c r="G35" s="1147"/>
      <c r="H35" s="1147"/>
      <c r="I35" s="1147"/>
      <c r="J35" s="1147"/>
      <c r="K35" s="1147"/>
      <c r="L35" s="729"/>
      <c r="M35" s="729"/>
      <c r="N35" s="729"/>
      <c r="O35" s="729"/>
      <c r="P35" s="729"/>
      <c r="Q35" s="729"/>
      <c r="R35" s="729"/>
      <c r="S35" s="729"/>
      <c r="T35" s="729"/>
      <c r="U35" s="729"/>
    </row>
    <row r="36" spans="1:21" ht="10.5" customHeight="1"/>
    <row r="39" spans="1:21">
      <c r="B39" s="756"/>
      <c r="C39" s="756"/>
      <c r="D39" s="756"/>
    </row>
  </sheetData>
  <sheetProtection algorithmName="SHA-512" hashValue="guhFcfJzr19vHne57U/8W0TCQHMGFf7MwRwj8lVjUGYIfaRI9tXg5PqAJOmvL/S6Soizz6g1pMs3QTnv1rdjAQ==" saltValue="MLaPVdaPenaBfZR0b+V/mg==" spinCount="100000" sheet="1" objects="1" scenarios="1"/>
  <mergeCells count="86">
    <mergeCell ref="B35:K35"/>
    <mergeCell ref="A32:B32"/>
    <mergeCell ref="C32:E32"/>
    <mergeCell ref="F32:H32"/>
    <mergeCell ref="I32:K32"/>
    <mergeCell ref="A33:K33"/>
    <mergeCell ref="B34:K34"/>
    <mergeCell ref="A30:B30"/>
    <mergeCell ref="C30:E30"/>
    <mergeCell ref="F30:H30"/>
    <mergeCell ref="I30:K30"/>
    <mergeCell ref="A31:B31"/>
    <mergeCell ref="C31:E31"/>
    <mergeCell ref="F31:H31"/>
    <mergeCell ref="I31:K31"/>
    <mergeCell ref="H22:J22"/>
    <mergeCell ref="A29:B29"/>
    <mergeCell ref="C29:E29"/>
    <mergeCell ref="F29:H29"/>
    <mergeCell ref="I29:K29"/>
    <mergeCell ref="C23:F23"/>
    <mergeCell ref="H23:J23"/>
    <mergeCell ref="C24:F24"/>
    <mergeCell ref="H24:J24"/>
    <mergeCell ref="C25:F25"/>
    <mergeCell ref="H25:J25"/>
    <mergeCell ref="C26:F26"/>
    <mergeCell ref="H26:J26"/>
    <mergeCell ref="B27:K27"/>
    <mergeCell ref="A28:B28"/>
    <mergeCell ref="C28:K28"/>
    <mergeCell ref="C18:F18"/>
    <mergeCell ref="H18:J18"/>
    <mergeCell ref="H19:J19"/>
    <mergeCell ref="C20:F20"/>
    <mergeCell ref="H20:J20"/>
    <mergeCell ref="C19:G19"/>
    <mergeCell ref="C14:J14"/>
    <mergeCell ref="C15:F15"/>
    <mergeCell ref="H15:J15"/>
    <mergeCell ref="M15:M17"/>
    <mergeCell ref="N15:O15"/>
    <mergeCell ref="C17:F17"/>
    <mergeCell ref="H17:J17"/>
    <mergeCell ref="P15:Q15"/>
    <mergeCell ref="C16:F16"/>
    <mergeCell ref="H16:J16"/>
    <mergeCell ref="N16:N17"/>
    <mergeCell ref="O16:O17"/>
    <mergeCell ref="P16:P17"/>
    <mergeCell ref="Q16:Q17"/>
    <mergeCell ref="A12:C12"/>
    <mergeCell ref="J12:K12"/>
    <mergeCell ref="J11:K11"/>
    <mergeCell ref="A10:C11"/>
    <mergeCell ref="D10:G11"/>
    <mergeCell ref="H11:I11"/>
    <mergeCell ref="D12:E12"/>
    <mergeCell ref="H12:I12"/>
    <mergeCell ref="A9:C9"/>
    <mergeCell ref="D9:G9"/>
    <mergeCell ref="J9:K9"/>
    <mergeCell ref="H9:I9"/>
    <mergeCell ref="H10:I10"/>
    <mergeCell ref="J10:K10"/>
    <mergeCell ref="J7:K7"/>
    <mergeCell ref="A8:C8"/>
    <mergeCell ref="D8:G8"/>
    <mergeCell ref="H8:I8"/>
    <mergeCell ref="J8:K8"/>
    <mergeCell ref="H21:J21"/>
    <mergeCell ref="C21:F22"/>
    <mergeCell ref="B1:C5"/>
    <mergeCell ref="D1:K1"/>
    <mergeCell ref="D2:K2"/>
    <mergeCell ref="D3:K3"/>
    <mergeCell ref="D4:I4"/>
    <mergeCell ref="J4:K4"/>
    <mergeCell ref="D5:K5"/>
    <mergeCell ref="A6:C6"/>
    <mergeCell ref="D6:G6"/>
    <mergeCell ref="H6:I6"/>
    <mergeCell ref="J6:K6"/>
    <mergeCell ref="A7:C7"/>
    <mergeCell ref="D7:G7"/>
    <mergeCell ref="H7:I7"/>
  </mergeCells>
  <printOptions horizontalCentered="1"/>
  <pageMargins left="0.59055118110236227" right="0.19685039370078741" top="0" bottom="0" header="0" footer="0.78740157480314965"/>
  <pageSetup scale="93" orientation="portrait" r:id="rId1"/>
  <headerFooter>
    <oddFooter>&amp;L&amp;"Arial,Normal"&amp;6Calle 26 No. 57-41 Torre 8 Pisos 7-8 CEMSA - CP: 1113111            
Pbx: 3779555  - Información: Línea 195     
www.umv.gov.co111311&amp;C&amp;"Arial,Normal"&amp;6PRO-FM-003
Página 1 de 1</oddFooter>
  </headerFooter>
  <drawing r:id="rId2"/>
  <legacyDrawing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14:formula1>
            <xm:f>firmas!$A$33:$A$35</xm:f>
          </x14:formula1>
          <xm:sqref>I31:K31</xm:sqref>
        </x14:dataValidation>
        <x14:dataValidation type="list" allowBlank="1" showInputMessage="1" showErrorMessage="1">
          <x14:formula1>
            <xm:f>firmas!$A$2:$A$26</xm:f>
          </x14:formula1>
          <xm:sqref>C31:E31</xm:sqref>
        </x14:dataValidation>
        <x14:dataValidation type="list" allowBlank="1" showInputMessage="1" showErrorMessage="1">
          <x14:formula1>
            <xm:f>firmas!$A$28:$A$31</xm:f>
          </x14:formula1>
          <xm:sqref>F31:H31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FB82"/>
  <sheetViews>
    <sheetView showGridLines="0" showZeros="0" tabSelected="1" view="pageBreakPreview" topLeftCell="A10" zoomScaleNormal="100" zoomScaleSheetLayoutView="100" workbookViewId="0">
      <selection activeCell="AC16" sqref="AC16:AF16"/>
    </sheetView>
  </sheetViews>
  <sheetFormatPr baseColWidth="10" defaultRowHeight="12.75"/>
  <cols>
    <col min="1" max="7" width="3.42578125" style="760" customWidth="1"/>
    <col min="8" max="8" width="3.140625" style="760" customWidth="1"/>
    <col min="9" max="9" width="3" style="760" customWidth="1"/>
    <col min="10" max="10" width="4" style="760" customWidth="1"/>
    <col min="11" max="11" width="3" style="760" customWidth="1"/>
    <col min="12" max="12" width="2" style="249" customWidth="1"/>
    <col min="13" max="13" width="2.7109375" style="760" customWidth="1"/>
    <col min="14" max="14" width="2.85546875" style="760" customWidth="1"/>
    <col min="15" max="16" width="1.42578125" style="760" customWidth="1"/>
    <col min="17" max="22" width="3" style="760" hidden="1" customWidth="1"/>
    <col min="23" max="23" width="0.85546875" style="760" hidden="1" customWidth="1"/>
    <col min="24" max="24" width="0.5703125" style="760" hidden="1" customWidth="1"/>
    <col min="25" max="25" width="3" style="760" customWidth="1"/>
    <col min="26" max="26" width="2.5703125" style="760" customWidth="1"/>
    <col min="27" max="31" width="3" style="760" customWidth="1"/>
    <col min="32" max="32" width="3.5703125" style="760" customWidth="1"/>
    <col min="33" max="34" width="3" style="760" customWidth="1"/>
    <col min="35" max="35" width="3.85546875" style="760" customWidth="1"/>
    <col min="36" max="36" width="2.85546875" style="760" customWidth="1"/>
    <col min="37" max="37" width="3.140625" style="760" customWidth="1"/>
    <col min="38" max="38" width="3.28515625" style="760" customWidth="1"/>
    <col min="39" max="39" width="2.5703125" style="760" customWidth="1"/>
    <col min="40" max="40" width="2.28515625" style="760" customWidth="1"/>
    <col min="41" max="41" width="11.5703125" style="760" hidden="1" customWidth="1"/>
    <col min="42" max="42" width="10.7109375" style="96" hidden="1" customWidth="1"/>
    <col min="43" max="43" width="6.7109375" style="96" hidden="1" customWidth="1"/>
    <col min="44" max="44" width="6.5703125" style="96" hidden="1" customWidth="1"/>
    <col min="45" max="45" width="7.5703125" style="96" hidden="1" customWidth="1"/>
    <col min="46" max="72" width="6.7109375" style="96" hidden="1" customWidth="1"/>
    <col min="73" max="97" width="6.7109375" style="233" hidden="1" customWidth="1"/>
    <col min="98" max="124" width="6.7109375" style="661" hidden="1" customWidth="1"/>
    <col min="125" max="126" width="0" style="760" hidden="1" customWidth="1"/>
    <col min="127" max="158" width="11.42578125" style="760" hidden="1" customWidth="1"/>
    <col min="159" max="163" width="11.42578125" style="760" customWidth="1"/>
    <col min="164" max="322" width="11.42578125" style="760"/>
    <col min="323" max="329" width="2.7109375" style="760" customWidth="1"/>
    <col min="330" max="330" width="2.85546875" style="760" customWidth="1"/>
    <col min="331" max="331" width="2.7109375" style="760" customWidth="1"/>
    <col min="332" max="332" width="3" style="760" customWidth="1"/>
    <col min="333" max="348" width="2.7109375" style="760" customWidth="1"/>
    <col min="349" max="349" width="4" style="760" customWidth="1"/>
    <col min="350" max="355" width="2.7109375" style="760" customWidth="1"/>
    <col min="356" max="366" width="7.28515625" style="760" customWidth="1"/>
    <col min="367" max="578" width="11.42578125" style="760"/>
    <col min="579" max="585" width="2.7109375" style="760" customWidth="1"/>
    <col min="586" max="586" width="2.85546875" style="760" customWidth="1"/>
    <col min="587" max="587" width="2.7109375" style="760" customWidth="1"/>
    <col min="588" max="588" width="3" style="760" customWidth="1"/>
    <col min="589" max="604" width="2.7109375" style="760" customWidth="1"/>
    <col min="605" max="605" width="4" style="760" customWidth="1"/>
    <col min="606" max="611" width="2.7109375" style="760" customWidth="1"/>
    <col min="612" max="622" width="7.28515625" style="760" customWidth="1"/>
    <col min="623" max="834" width="11.42578125" style="760"/>
    <col min="835" max="841" width="2.7109375" style="760" customWidth="1"/>
    <col min="842" max="842" width="2.85546875" style="760" customWidth="1"/>
    <col min="843" max="843" width="2.7109375" style="760" customWidth="1"/>
    <col min="844" max="844" width="3" style="760" customWidth="1"/>
    <col min="845" max="860" width="2.7109375" style="760" customWidth="1"/>
    <col min="861" max="861" width="4" style="760" customWidth="1"/>
    <col min="862" max="867" width="2.7109375" style="760" customWidth="1"/>
    <col min="868" max="878" width="7.28515625" style="760" customWidth="1"/>
    <col min="879" max="1090" width="11.42578125" style="760"/>
    <col min="1091" max="1097" width="2.7109375" style="760" customWidth="1"/>
    <col min="1098" max="1098" width="2.85546875" style="760" customWidth="1"/>
    <col min="1099" max="1099" width="2.7109375" style="760" customWidth="1"/>
    <col min="1100" max="1100" width="3" style="760" customWidth="1"/>
    <col min="1101" max="1116" width="2.7109375" style="760" customWidth="1"/>
    <col min="1117" max="1117" width="4" style="760" customWidth="1"/>
    <col min="1118" max="1123" width="2.7109375" style="760" customWidth="1"/>
    <col min="1124" max="1134" width="7.28515625" style="760" customWidth="1"/>
    <col min="1135" max="1346" width="11.42578125" style="760"/>
    <col min="1347" max="1353" width="2.7109375" style="760" customWidth="1"/>
    <col min="1354" max="1354" width="2.85546875" style="760" customWidth="1"/>
    <col min="1355" max="1355" width="2.7109375" style="760" customWidth="1"/>
    <col min="1356" max="1356" width="3" style="760" customWidth="1"/>
    <col min="1357" max="1372" width="2.7109375" style="760" customWidth="1"/>
    <col min="1373" max="1373" width="4" style="760" customWidth="1"/>
    <col min="1374" max="1379" width="2.7109375" style="760" customWidth="1"/>
    <col min="1380" max="1390" width="7.28515625" style="760" customWidth="1"/>
    <col min="1391" max="1602" width="11.42578125" style="760"/>
    <col min="1603" max="1609" width="2.7109375" style="760" customWidth="1"/>
    <col min="1610" max="1610" width="2.85546875" style="760" customWidth="1"/>
    <col min="1611" max="1611" width="2.7109375" style="760" customWidth="1"/>
    <col min="1612" max="1612" width="3" style="760" customWidth="1"/>
    <col min="1613" max="1628" width="2.7109375" style="760" customWidth="1"/>
    <col min="1629" max="1629" width="4" style="760" customWidth="1"/>
    <col min="1630" max="1635" width="2.7109375" style="760" customWidth="1"/>
    <col min="1636" max="1646" width="7.28515625" style="760" customWidth="1"/>
    <col min="1647" max="1858" width="11.42578125" style="760"/>
    <col min="1859" max="1865" width="2.7109375" style="760" customWidth="1"/>
    <col min="1866" max="1866" width="2.85546875" style="760" customWidth="1"/>
    <col min="1867" max="1867" width="2.7109375" style="760" customWidth="1"/>
    <col min="1868" max="1868" width="3" style="760" customWidth="1"/>
    <col min="1869" max="1884" width="2.7109375" style="760" customWidth="1"/>
    <col min="1885" max="1885" width="4" style="760" customWidth="1"/>
    <col min="1886" max="1891" width="2.7109375" style="760" customWidth="1"/>
    <col min="1892" max="1902" width="7.28515625" style="760" customWidth="1"/>
    <col min="1903" max="2114" width="11.42578125" style="760"/>
    <col min="2115" max="2121" width="2.7109375" style="760" customWidth="1"/>
    <col min="2122" max="2122" width="2.85546875" style="760" customWidth="1"/>
    <col min="2123" max="2123" width="2.7109375" style="760" customWidth="1"/>
    <col min="2124" max="2124" width="3" style="760" customWidth="1"/>
    <col min="2125" max="2140" width="2.7109375" style="760" customWidth="1"/>
    <col min="2141" max="2141" width="4" style="760" customWidth="1"/>
    <col min="2142" max="2147" width="2.7109375" style="760" customWidth="1"/>
    <col min="2148" max="2158" width="7.28515625" style="760" customWidth="1"/>
    <col min="2159" max="2370" width="11.42578125" style="760"/>
    <col min="2371" max="2377" width="2.7109375" style="760" customWidth="1"/>
    <col min="2378" max="2378" width="2.85546875" style="760" customWidth="1"/>
    <col min="2379" max="2379" width="2.7109375" style="760" customWidth="1"/>
    <col min="2380" max="2380" width="3" style="760" customWidth="1"/>
    <col min="2381" max="2396" width="2.7109375" style="760" customWidth="1"/>
    <col min="2397" max="2397" width="4" style="760" customWidth="1"/>
    <col min="2398" max="2403" width="2.7109375" style="760" customWidth="1"/>
    <col min="2404" max="2414" width="7.28515625" style="760" customWidth="1"/>
    <col min="2415" max="2626" width="11.42578125" style="760"/>
    <col min="2627" max="2633" width="2.7109375" style="760" customWidth="1"/>
    <col min="2634" max="2634" width="2.85546875" style="760" customWidth="1"/>
    <col min="2635" max="2635" width="2.7109375" style="760" customWidth="1"/>
    <col min="2636" max="2636" width="3" style="760" customWidth="1"/>
    <col min="2637" max="2652" width="2.7109375" style="760" customWidth="1"/>
    <col min="2653" max="2653" width="4" style="760" customWidth="1"/>
    <col min="2654" max="2659" width="2.7109375" style="760" customWidth="1"/>
    <col min="2660" max="2670" width="7.28515625" style="760" customWidth="1"/>
    <col min="2671" max="2882" width="11.42578125" style="760"/>
    <col min="2883" max="2889" width="2.7109375" style="760" customWidth="1"/>
    <col min="2890" max="2890" width="2.85546875" style="760" customWidth="1"/>
    <col min="2891" max="2891" width="2.7109375" style="760" customWidth="1"/>
    <col min="2892" max="2892" width="3" style="760" customWidth="1"/>
    <col min="2893" max="2908" width="2.7109375" style="760" customWidth="1"/>
    <col min="2909" max="2909" width="4" style="760" customWidth="1"/>
    <col min="2910" max="2915" width="2.7109375" style="760" customWidth="1"/>
    <col min="2916" max="2926" width="7.28515625" style="760" customWidth="1"/>
    <col min="2927" max="3138" width="11.42578125" style="760"/>
    <col min="3139" max="3145" width="2.7109375" style="760" customWidth="1"/>
    <col min="3146" max="3146" width="2.85546875" style="760" customWidth="1"/>
    <col min="3147" max="3147" width="2.7109375" style="760" customWidth="1"/>
    <col min="3148" max="3148" width="3" style="760" customWidth="1"/>
    <col min="3149" max="3164" width="2.7109375" style="760" customWidth="1"/>
    <col min="3165" max="3165" width="4" style="760" customWidth="1"/>
    <col min="3166" max="3171" width="2.7109375" style="760" customWidth="1"/>
    <col min="3172" max="3182" width="7.28515625" style="760" customWidth="1"/>
    <col min="3183" max="3394" width="11.42578125" style="760"/>
    <col min="3395" max="3401" width="2.7109375" style="760" customWidth="1"/>
    <col min="3402" max="3402" width="2.85546875" style="760" customWidth="1"/>
    <col min="3403" max="3403" width="2.7109375" style="760" customWidth="1"/>
    <col min="3404" max="3404" width="3" style="760" customWidth="1"/>
    <col min="3405" max="3420" width="2.7109375" style="760" customWidth="1"/>
    <col min="3421" max="3421" width="4" style="760" customWidth="1"/>
    <col min="3422" max="3427" width="2.7109375" style="760" customWidth="1"/>
    <col min="3428" max="3438" width="7.28515625" style="760" customWidth="1"/>
    <col min="3439" max="3650" width="11.42578125" style="760"/>
    <col min="3651" max="3657" width="2.7109375" style="760" customWidth="1"/>
    <col min="3658" max="3658" width="2.85546875" style="760" customWidth="1"/>
    <col min="3659" max="3659" width="2.7109375" style="760" customWidth="1"/>
    <col min="3660" max="3660" width="3" style="760" customWidth="1"/>
    <col min="3661" max="3676" width="2.7109375" style="760" customWidth="1"/>
    <col min="3677" max="3677" width="4" style="760" customWidth="1"/>
    <col min="3678" max="3683" width="2.7109375" style="760" customWidth="1"/>
    <col min="3684" max="3694" width="7.28515625" style="760" customWidth="1"/>
    <col min="3695" max="3906" width="11.42578125" style="760"/>
    <col min="3907" max="3913" width="2.7109375" style="760" customWidth="1"/>
    <col min="3914" max="3914" width="2.85546875" style="760" customWidth="1"/>
    <col min="3915" max="3915" width="2.7109375" style="760" customWidth="1"/>
    <col min="3916" max="3916" width="3" style="760" customWidth="1"/>
    <col min="3917" max="3932" width="2.7109375" style="760" customWidth="1"/>
    <col min="3933" max="3933" width="4" style="760" customWidth="1"/>
    <col min="3934" max="3939" width="2.7109375" style="760" customWidth="1"/>
    <col min="3940" max="3950" width="7.28515625" style="760" customWidth="1"/>
    <col min="3951" max="4162" width="11.42578125" style="760"/>
    <col min="4163" max="4169" width="2.7109375" style="760" customWidth="1"/>
    <col min="4170" max="4170" width="2.85546875" style="760" customWidth="1"/>
    <col min="4171" max="4171" width="2.7109375" style="760" customWidth="1"/>
    <col min="4172" max="4172" width="3" style="760" customWidth="1"/>
    <col min="4173" max="4188" width="2.7109375" style="760" customWidth="1"/>
    <col min="4189" max="4189" width="4" style="760" customWidth="1"/>
    <col min="4190" max="4195" width="2.7109375" style="760" customWidth="1"/>
    <col min="4196" max="4206" width="7.28515625" style="760" customWidth="1"/>
    <col min="4207" max="4418" width="11.42578125" style="760"/>
    <col min="4419" max="4425" width="2.7109375" style="760" customWidth="1"/>
    <col min="4426" max="4426" width="2.85546875" style="760" customWidth="1"/>
    <col min="4427" max="4427" width="2.7109375" style="760" customWidth="1"/>
    <col min="4428" max="4428" width="3" style="760" customWidth="1"/>
    <col min="4429" max="4444" width="2.7109375" style="760" customWidth="1"/>
    <col min="4445" max="4445" width="4" style="760" customWidth="1"/>
    <col min="4446" max="4451" width="2.7109375" style="760" customWidth="1"/>
    <col min="4452" max="4462" width="7.28515625" style="760" customWidth="1"/>
    <col min="4463" max="4674" width="11.42578125" style="760"/>
    <col min="4675" max="4681" width="2.7109375" style="760" customWidth="1"/>
    <col min="4682" max="4682" width="2.85546875" style="760" customWidth="1"/>
    <col min="4683" max="4683" width="2.7109375" style="760" customWidth="1"/>
    <col min="4684" max="4684" width="3" style="760" customWidth="1"/>
    <col min="4685" max="4700" width="2.7109375" style="760" customWidth="1"/>
    <col min="4701" max="4701" width="4" style="760" customWidth="1"/>
    <col min="4702" max="4707" width="2.7109375" style="760" customWidth="1"/>
    <col min="4708" max="4718" width="7.28515625" style="760" customWidth="1"/>
    <col min="4719" max="4930" width="11.42578125" style="760"/>
    <col min="4931" max="4937" width="2.7109375" style="760" customWidth="1"/>
    <col min="4938" max="4938" width="2.85546875" style="760" customWidth="1"/>
    <col min="4939" max="4939" width="2.7109375" style="760" customWidth="1"/>
    <col min="4940" max="4940" width="3" style="760" customWidth="1"/>
    <col min="4941" max="4956" width="2.7109375" style="760" customWidth="1"/>
    <col min="4957" max="4957" width="4" style="760" customWidth="1"/>
    <col min="4958" max="4963" width="2.7109375" style="760" customWidth="1"/>
    <col min="4964" max="4974" width="7.28515625" style="760" customWidth="1"/>
    <col min="4975" max="5186" width="11.42578125" style="760"/>
    <col min="5187" max="5193" width="2.7109375" style="760" customWidth="1"/>
    <col min="5194" max="5194" width="2.85546875" style="760" customWidth="1"/>
    <col min="5195" max="5195" width="2.7109375" style="760" customWidth="1"/>
    <col min="5196" max="5196" width="3" style="760" customWidth="1"/>
    <col min="5197" max="5212" width="2.7109375" style="760" customWidth="1"/>
    <col min="5213" max="5213" width="4" style="760" customWidth="1"/>
    <col min="5214" max="5219" width="2.7109375" style="760" customWidth="1"/>
    <col min="5220" max="5230" width="7.28515625" style="760" customWidth="1"/>
    <col min="5231" max="5442" width="11.42578125" style="760"/>
    <col min="5443" max="5449" width="2.7109375" style="760" customWidth="1"/>
    <col min="5450" max="5450" width="2.85546875" style="760" customWidth="1"/>
    <col min="5451" max="5451" width="2.7109375" style="760" customWidth="1"/>
    <col min="5452" max="5452" width="3" style="760" customWidth="1"/>
    <col min="5453" max="5468" width="2.7109375" style="760" customWidth="1"/>
    <col min="5469" max="5469" width="4" style="760" customWidth="1"/>
    <col min="5470" max="5475" width="2.7109375" style="760" customWidth="1"/>
    <col min="5476" max="5486" width="7.28515625" style="760" customWidth="1"/>
    <col min="5487" max="5698" width="11.42578125" style="760"/>
    <col min="5699" max="5705" width="2.7109375" style="760" customWidth="1"/>
    <col min="5706" max="5706" width="2.85546875" style="760" customWidth="1"/>
    <col min="5707" max="5707" width="2.7109375" style="760" customWidth="1"/>
    <col min="5708" max="5708" width="3" style="760" customWidth="1"/>
    <col min="5709" max="5724" width="2.7109375" style="760" customWidth="1"/>
    <col min="5725" max="5725" width="4" style="760" customWidth="1"/>
    <col min="5726" max="5731" width="2.7109375" style="760" customWidth="1"/>
    <col min="5732" max="5742" width="7.28515625" style="760" customWidth="1"/>
    <col min="5743" max="5954" width="11.42578125" style="760"/>
    <col min="5955" max="5961" width="2.7109375" style="760" customWidth="1"/>
    <col min="5962" max="5962" width="2.85546875" style="760" customWidth="1"/>
    <col min="5963" max="5963" width="2.7109375" style="760" customWidth="1"/>
    <col min="5964" max="5964" width="3" style="760" customWidth="1"/>
    <col min="5965" max="5980" width="2.7109375" style="760" customWidth="1"/>
    <col min="5981" max="5981" width="4" style="760" customWidth="1"/>
    <col min="5982" max="5987" width="2.7109375" style="760" customWidth="1"/>
    <col min="5988" max="5998" width="7.28515625" style="760" customWidth="1"/>
    <col min="5999" max="6210" width="11.42578125" style="760"/>
    <col min="6211" max="6217" width="2.7109375" style="760" customWidth="1"/>
    <col min="6218" max="6218" width="2.85546875" style="760" customWidth="1"/>
    <col min="6219" max="6219" width="2.7109375" style="760" customWidth="1"/>
    <col min="6220" max="6220" width="3" style="760" customWidth="1"/>
    <col min="6221" max="6236" width="2.7109375" style="760" customWidth="1"/>
    <col min="6237" max="6237" width="4" style="760" customWidth="1"/>
    <col min="6238" max="6243" width="2.7109375" style="760" customWidth="1"/>
    <col min="6244" max="6254" width="7.28515625" style="760" customWidth="1"/>
    <col min="6255" max="6466" width="11.42578125" style="760"/>
    <col min="6467" max="6473" width="2.7109375" style="760" customWidth="1"/>
    <col min="6474" max="6474" width="2.85546875" style="760" customWidth="1"/>
    <col min="6475" max="6475" width="2.7109375" style="760" customWidth="1"/>
    <col min="6476" max="6476" width="3" style="760" customWidth="1"/>
    <col min="6477" max="6492" width="2.7109375" style="760" customWidth="1"/>
    <col min="6493" max="6493" width="4" style="760" customWidth="1"/>
    <col min="6494" max="6499" width="2.7109375" style="760" customWidth="1"/>
    <col min="6500" max="6510" width="7.28515625" style="760" customWidth="1"/>
    <col min="6511" max="6722" width="11.42578125" style="760"/>
    <col min="6723" max="6729" width="2.7109375" style="760" customWidth="1"/>
    <col min="6730" max="6730" width="2.85546875" style="760" customWidth="1"/>
    <col min="6731" max="6731" width="2.7109375" style="760" customWidth="1"/>
    <col min="6732" max="6732" width="3" style="760" customWidth="1"/>
    <col min="6733" max="6748" width="2.7109375" style="760" customWidth="1"/>
    <col min="6749" max="6749" width="4" style="760" customWidth="1"/>
    <col min="6750" max="6755" width="2.7109375" style="760" customWidth="1"/>
    <col min="6756" max="6766" width="7.28515625" style="760" customWidth="1"/>
    <col min="6767" max="6978" width="11.42578125" style="760"/>
    <col min="6979" max="6985" width="2.7109375" style="760" customWidth="1"/>
    <col min="6986" max="6986" width="2.85546875" style="760" customWidth="1"/>
    <col min="6987" max="6987" width="2.7109375" style="760" customWidth="1"/>
    <col min="6988" max="6988" width="3" style="760" customWidth="1"/>
    <col min="6989" max="7004" width="2.7109375" style="760" customWidth="1"/>
    <col min="7005" max="7005" width="4" style="760" customWidth="1"/>
    <col min="7006" max="7011" width="2.7109375" style="760" customWidth="1"/>
    <col min="7012" max="7022" width="7.28515625" style="760" customWidth="1"/>
    <col min="7023" max="7234" width="11.42578125" style="760"/>
    <col min="7235" max="7241" width="2.7109375" style="760" customWidth="1"/>
    <col min="7242" max="7242" width="2.85546875" style="760" customWidth="1"/>
    <col min="7243" max="7243" width="2.7109375" style="760" customWidth="1"/>
    <col min="7244" max="7244" width="3" style="760" customWidth="1"/>
    <col min="7245" max="7260" width="2.7109375" style="760" customWidth="1"/>
    <col min="7261" max="7261" width="4" style="760" customWidth="1"/>
    <col min="7262" max="7267" width="2.7109375" style="760" customWidth="1"/>
    <col min="7268" max="7278" width="7.28515625" style="760" customWidth="1"/>
    <col min="7279" max="7490" width="11.42578125" style="760"/>
    <col min="7491" max="7497" width="2.7109375" style="760" customWidth="1"/>
    <col min="7498" max="7498" width="2.85546875" style="760" customWidth="1"/>
    <col min="7499" max="7499" width="2.7109375" style="760" customWidth="1"/>
    <col min="7500" max="7500" width="3" style="760" customWidth="1"/>
    <col min="7501" max="7516" width="2.7109375" style="760" customWidth="1"/>
    <col min="7517" max="7517" width="4" style="760" customWidth="1"/>
    <col min="7518" max="7523" width="2.7109375" style="760" customWidth="1"/>
    <col min="7524" max="7534" width="7.28515625" style="760" customWidth="1"/>
    <col min="7535" max="7746" width="11.42578125" style="760"/>
    <col min="7747" max="7753" width="2.7109375" style="760" customWidth="1"/>
    <col min="7754" max="7754" width="2.85546875" style="760" customWidth="1"/>
    <col min="7755" max="7755" width="2.7109375" style="760" customWidth="1"/>
    <col min="7756" max="7756" width="3" style="760" customWidth="1"/>
    <col min="7757" max="7772" width="2.7109375" style="760" customWidth="1"/>
    <col min="7773" max="7773" width="4" style="760" customWidth="1"/>
    <col min="7774" max="7779" width="2.7109375" style="760" customWidth="1"/>
    <col min="7780" max="7790" width="7.28515625" style="760" customWidth="1"/>
    <col min="7791" max="8002" width="11.42578125" style="760"/>
    <col min="8003" max="8009" width="2.7109375" style="760" customWidth="1"/>
    <col min="8010" max="8010" width="2.85546875" style="760" customWidth="1"/>
    <col min="8011" max="8011" width="2.7109375" style="760" customWidth="1"/>
    <col min="8012" max="8012" width="3" style="760" customWidth="1"/>
    <col min="8013" max="8028" width="2.7109375" style="760" customWidth="1"/>
    <col min="8029" max="8029" width="4" style="760" customWidth="1"/>
    <col min="8030" max="8035" width="2.7109375" style="760" customWidth="1"/>
    <col min="8036" max="8046" width="7.28515625" style="760" customWidth="1"/>
    <col min="8047" max="8258" width="11.42578125" style="760"/>
    <col min="8259" max="8265" width="2.7109375" style="760" customWidth="1"/>
    <col min="8266" max="8266" width="2.85546875" style="760" customWidth="1"/>
    <col min="8267" max="8267" width="2.7109375" style="760" customWidth="1"/>
    <col min="8268" max="8268" width="3" style="760" customWidth="1"/>
    <col min="8269" max="8284" width="2.7109375" style="760" customWidth="1"/>
    <col min="8285" max="8285" width="4" style="760" customWidth="1"/>
    <col min="8286" max="8291" width="2.7109375" style="760" customWidth="1"/>
    <col min="8292" max="8302" width="7.28515625" style="760" customWidth="1"/>
    <col min="8303" max="8514" width="11.42578125" style="760"/>
    <col min="8515" max="8521" width="2.7109375" style="760" customWidth="1"/>
    <col min="8522" max="8522" width="2.85546875" style="760" customWidth="1"/>
    <col min="8523" max="8523" width="2.7109375" style="760" customWidth="1"/>
    <col min="8524" max="8524" width="3" style="760" customWidth="1"/>
    <col min="8525" max="8540" width="2.7109375" style="760" customWidth="1"/>
    <col min="8541" max="8541" width="4" style="760" customWidth="1"/>
    <col min="8542" max="8547" width="2.7109375" style="760" customWidth="1"/>
    <col min="8548" max="8558" width="7.28515625" style="760" customWidth="1"/>
    <col min="8559" max="8770" width="11.42578125" style="760"/>
    <col min="8771" max="8777" width="2.7109375" style="760" customWidth="1"/>
    <col min="8778" max="8778" width="2.85546875" style="760" customWidth="1"/>
    <col min="8779" max="8779" width="2.7109375" style="760" customWidth="1"/>
    <col min="8780" max="8780" width="3" style="760" customWidth="1"/>
    <col min="8781" max="8796" width="2.7109375" style="760" customWidth="1"/>
    <col min="8797" max="8797" width="4" style="760" customWidth="1"/>
    <col min="8798" max="8803" width="2.7109375" style="760" customWidth="1"/>
    <col min="8804" max="8814" width="7.28515625" style="760" customWidth="1"/>
    <col min="8815" max="9026" width="11.42578125" style="760"/>
    <col min="9027" max="9033" width="2.7109375" style="760" customWidth="1"/>
    <col min="9034" max="9034" width="2.85546875" style="760" customWidth="1"/>
    <col min="9035" max="9035" width="2.7109375" style="760" customWidth="1"/>
    <col min="9036" max="9036" width="3" style="760" customWidth="1"/>
    <col min="9037" max="9052" width="2.7109375" style="760" customWidth="1"/>
    <col min="9053" max="9053" width="4" style="760" customWidth="1"/>
    <col min="9054" max="9059" width="2.7109375" style="760" customWidth="1"/>
    <col min="9060" max="9070" width="7.28515625" style="760" customWidth="1"/>
    <col min="9071" max="9282" width="11.42578125" style="760"/>
    <col min="9283" max="9289" width="2.7109375" style="760" customWidth="1"/>
    <col min="9290" max="9290" width="2.85546875" style="760" customWidth="1"/>
    <col min="9291" max="9291" width="2.7109375" style="760" customWidth="1"/>
    <col min="9292" max="9292" width="3" style="760" customWidth="1"/>
    <col min="9293" max="9308" width="2.7109375" style="760" customWidth="1"/>
    <col min="9309" max="9309" width="4" style="760" customWidth="1"/>
    <col min="9310" max="9315" width="2.7109375" style="760" customWidth="1"/>
    <col min="9316" max="9326" width="7.28515625" style="760" customWidth="1"/>
    <col min="9327" max="9538" width="11.42578125" style="760"/>
    <col min="9539" max="9545" width="2.7109375" style="760" customWidth="1"/>
    <col min="9546" max="9546" width="2.85546875" style="760" customWidth="1"/>
    <col min="9547" max="9547" width="2.7109375" style="760" customWidth="1"/>
    <col min="9548" max="9548" width="3" style="760" customWidth="1"/>
    <col min="9549" max="9564" width="2.7109375" style="760" customWidth="1"/>
    <col min="9565" max="9565" width="4" style="760" customWidth="1"/>
    <col min="9566" max="9571" width="2.7109375" style="760" customWidth="1"/>
    <col min="9572" max="9582" width="7.28515625" style="760" customWidth="1"/>
    <col min="9583" max="9794" width="11.42578125" style="760"/>
    <col min="9795" max="9801" width="2.7109375" style="760" customWidth="1"/>
    <col min="9802" max="9802" width="2.85546875" style="760" customWidth="1"/>
    <col min="9803" max="9803" width="2.7109375" style="760" customWidth="1"/>
    <col min="9804" max="9804" width="3" style="760" customWidth="1"/>
    <col min="9805" max="9820" width="2.7109375" style="760" customWidth="1"/>
    <col min="9821" max="9821" width="4" style="760" customWidth="1"/>
    <col min="9822" max="9827" width="2.7109375" style="760" customWidth="1"/>
    <col min="9828" max="9838" width="7.28515625" style="760" customWidth="1"/>
    <col min="9839" max="10050" width="11.42578125" style="760"/>
    <col min="10051" max="10057" width="2.7109375" style="760" customWidth="1"/>
    <col min="10058" max="10058" width="2.85546875" style="760" customWidth="1"/>
    <col min="10059" max="10059" width="2.7109375" style="760" customWidth="1"/>
    <col min="10060" max="10060" width="3" style="760" customWidth="1"/>
    <col min="10061" max="10076" width="2.7109375" style="760" customWidth="1"/>
    <col min="10077" max="10077" width="4" style="760" customWidth="1"/>
    <col min="10078" max="10083" width="2.7109375" style="760" customWidth="1"/>
    <col min="10084" max="10094" width="7.28515625" style="760" customWidth="1"/>
    <col min="10095" max="10306" width="11.42578125" style="760"/>
    <col min="10307" max="10313" width="2.7109375" style="760" customWidth="1"/>
    <col min="10314" max="10314" width="2.85546875" style="760" customWidth="1"/>
    <col min="10315" max="10315" width="2.7109375" style="760" customWidth="1"/>
    <col min="10316" max="10316" width="3" style="760" customWidth="1"/>
    <col min="10317" max="10332" width="2.7109375" style="760" customWidth="1"/>
    <col min="10333" max="10333" width="4" style="760" customWidth="1"/>
    <col min="10334" max="10339" width="2.7109375" style="760" customWidth="1"/>
    <col min="10340" max="10350" width="7.28515625" style="760" customWidth="1"/>
    <col min="10351" max="10562" width="11.42578125" style="760"/>
    <col min="10563" max="10569" width="2.7109375" style="760" customWidth="1"/>
    <col min="10570" max="10570" width="2.85546875" style="760" customWidth="1"/>
    <col min="10571" max="10571" width="2.7109375" style="760" customWidth="1"/>
    <col min="10572" max="10572" width="3" style="760" customWidth="1"/>
    <col min="10573" max="10588" width="2.7109375" style="760" customWidth="1"/>
    <col min="10589" max="10589" width="4" style="760" customWidth="1"/>
    <col min="10590" max="10595" width="2.7109375" style="760" customWidth="1"/>
    <col min="10596" max="10606" width="7.28515625" style="760" customWidth="1"/>
    <col min="10607" max="10818" width="11.42578125" style="760"/>
    <col min="10819" max="10825" width="2.7109375" style="760" customWidth="1"/>
    <col min="10826" max="10826" width="2.85546875" style="760" customWidth="1"/>
    <col min="10827" max="10827" width="2.7109375" style="760" customWidth="1"/>
    <col min="10828" max="10828" width="3" style="760" customWidth="1"/>
    <col min="10829" max="10844" width="2.7109375" style="760" customWidth="1"/>
    <col min="10845" max="10845" width="4" style="760" customWidth="1"/>
    <col min="10846" max="10851" width="2.7109375" style="760" customWidth="1"/>
    <col min="10852" max="10862" width="7.28515625" style="760" customWidth="1"/>
    <col min="10863" max="11074" width="11.42578125" style="760"/>
    <col min="11075" max="11081" width="2.7109375" style="760" customWidth="1"/>
    <col min="11082" max="11082" width="2.85546875" style="760" customWidth="1"/>
    <col min="11083" max="11083" width="2.7109375" style="760" customWidth="1"/>
    <col min="11084" max="11084" width="3" style="760" customWidth="1"/>
    <col min="11085" max="11100" width="2.7109375" style="760" customWidth="1"/>
    <col min="11101" max="11101" width="4" style="760" customWidth="1"/>
    <col min="11102" max="11107" width="2.7109375" style="760" customWidth="1"/>
    <col min="11108" max="11118" width="7.28515625" style="760" customWidth="1"/>
    <col min="11119" max="11330" width="11.42578125" style="760"/>
    <col min="11331" max="11337" width="2.7109375" style="760" customWidth="1"/>
    <col min="11338" max="11338" width="2.85546875" style="760" customWidth="1"/>
    <col min="11339" max="11339" width="2.7109375" style="760" customWidth="1"/>
    <col min="11340" max="11340" width="3" style="760" customWidth="1"/>
    <col min="11341" max="11356" width="2.7109375" style="760" customWidth="1"/>
    <col min="11357" max="11357" width="4" style="760" customWidth="1"/>
    <col min="11358" max="11363" width="2.7109375" style="760" customWidth="1"/>
    <col min="11364" max="11374" width="7.28515625" style="760" customWidth="1"/>
    <col min="11375" max="11586" width="11.42578125" style="760"/>
    <col min="11587" max="11593" width="2.7109375" style="760" customWidth="1"/>
    <col min="11594" max="11594" width="2.85546875" style="760" customWidth="1"/>
    <col min="11595" max="11595" width="2.7109375" style="760" customWidth="1"/>
    <col min="11596" max="11596" width="3" style="760" customWidth="1"/>
    <col min="11597" max="11612" width="2.7109375" style="760" customWidth="1"/>
    <col min="11613" max="11613" width="4" style="760" customWidth="1"/>
    <col min="11614" max="11619" width="2.7109375" style="760" customWidth="1"/>
    <col min="11620" max="11630" width="7.28515625" style="760" customWidth="1"/>
    <col min="11631" max="11842" width="11.42578125" style="760"/>
    <col min="11843" max="11849" width="2.7109375" style="760" customWidth="1"/>
    <col min="11850" max="11850" width="2.85546875" style="760" customWidth="1"/>
    <col min="11851" max="11851" width="2.7109375" style="760" customWidth="1"/>
    <col min="11852" max="11852" width="3" style="760" customWidth="1"/>
    <col min="11853" max="11868" width="2.7109375" style="760" customWidth="1"/>
    <col min="11869" max="11869" width="4" style="760" customWidth="1"/>
    <col min="11870" max="11875" width="2.7109375" style="760" customWidth="1"/>
    <col min="11876" max="11886" width="7.28515625" style="760" customWidth="1"/>
    <col min="11887" max="12098" width="11.42578125" style="760"/>
    <col min="12099" max="12105" width="2.7109375" style="760" customWidth="1"/>
    <col min="12106" max="12106" width="2.85546875" style="760" customWidth="1"/>
    <col min="12107" max="12107" width="2.7109375" style="760" customWidth="1"/>
    <col min="12108" max="12108" width="3" style="760" customWidth="1"/>
    <col min="12109" max="12124" width="2.7109375" style="760" customWidth="1"/>
    <col min="12125" max="12125" width="4" style="760" customWidth="1"/>
    <col min="12126" max="12131" width="2.7109375" style="760" customWidth="1"/>
    <col min="12132" max="12142" width="7.28515625" style="760" customWidth="1"/>
    <col min="12143" max="12354" width="11.42578125" style="760"/>
    <col min="12355" max="12361" width="2.7109375" style="760" customWidth="1"/>
    <col min="12362" max="12362" width="2.85546875" style="760" customWidth="1"/>
    <col min="12363" max="12363" width="2.7109375" style="760" customWidth="1"/>
    <col min="12364" max="12364" width="3" style="760" customWidth="1"/>
    <col min="12365" max="12380" width="2.7109375" style="760" customWidth="1"/>
    <col min="12381" max="12381" width="4" style="760" customWidth="1"/>
    <col min="12382" max="12387" width="2.7109375" style="760" customWidth="1"/>
    <col min="12388" max="12398" width="7.28515625" style="760" customWidth="1"/>
    <col min="12399" max="12610" width="11.42578125" style="760"/>
    <col min="12611" max="12617" width="2.7109375" style="760" customWidth="1"/>
    <col min="12618" max="12618" width="2.85546875" style="760" customWidth="1"/>
    <col min="12619" max="12619" width="2.7109375" style="760" customWidth="1"/>
    <col min="12620" max="12620" width="3" style="760" customWidth="1"/>
    <col min="12621" max="12636" width="2.7109375" style="760" customWidth="1"/>
    <col min="12637" max="12637" width="4" style="760" customWidth="1"/>
    <col min="12638" max="12643" width="2.7109375" style="760" customWidth="1"/>
    <col min="12644" max="12654" width="7.28515625" style="760" customWidth="1"/>
    <col min="12655" max="12866" width="11.42578125" style="760"/>
    <col min="12867" max="12873" width="2.7109375" style="760" customWidth="1"/>
    <col min="12874" max="12874" width="2.85546875" style="760" customWidth="1"/>
    <col min="12875" max="12875" width="2.7109375" style="760" customWidth="1"/>
    <col min="12876" max="12876" width="3" style="760" customWidth="1"/>
    <col min="12877" max="12892" width="2.7109375" style="760" customWidth="1"/>
    <col min="12893" max="12893" width="4" style="760" customWidth="1"/>
    <col min="12894" max="12899" width="2.7109375" style="760" customWidth="1"/>
    <col min="12900" max="12910" width="7.28515625" style="760" customWidth="1"/>
    <col min="12911" max="13122" width="11.42578125" style="760"/>
    <col min="13123" max="13129" width="2.7109375" style="760" customWidth="1"/>
    <col min="13130" max="13130" width="2.85546875" style="760" customWidth="1"/>
    <col min="13131" max="13131" width="2.7109375" style="760" customWidth="1"/>
    <col min="13132" max="13132" width="3" style="760" customWidth="1"/>
    <col min="13133" max="13148" width="2.7109375" style="760" customWidth="1"/>
    <col min="13149" max="13149" width="4" style="760" customWidth="1"/>
    <col min="13150" max="13155" width="2.7109375" style="760" customWidth="1"/>
    <col min="13156" max="13166" width="7.28515625" style="760" customWidth="1"/>
    <col min="13167" max="13378" width="11.42578125" style="760"/>
    <col min="13379" max="13385" width="2.7109375" style="760" customWidth="1"/>
    <col min="13386" max="13386" width="2.85546875" style="760" customWidth="1"/>
    <col min="13387" max="13387" width="2.7109375" style="760" customWidth="1"/>
    <col min="13388" max="13388" width="3" style="760" customWidth="1"/>
    <col min="13389" max="13404" width="2.7109375" style="760" customWidth="1"/>
    <col min="13405" max="13405" width="4" style="760" customWidth="1"/>
    <col min="13406" max="13411" width="2.7109375" style="760" customWidth="1"/>
    <col min="13412" max="13422" width="7.28515625" style="760" customWidth="1"/>
    <col min="13423" max="13634" width="11.42578125" style="760"/>
    <col min="13635" max="13641" width="2.7109375" style="760" customWidth="1"/>
    <col min="13642" max="13642" width="2.85546875" style="760" customWidth="1"/>
    <col min="13643" max="13643" width="2.7109375" style="760" customWidth="1"/>
    <col min="13644" max="13644" width="3" style="760" customWidth="1"/>
    <col min="13645" max="13660" width="2.7109375" style="760" customWidth="1"/>
    <col min="13661" max="13661" width="4" style="760" customWidth="1"/>
    <col min="13662" max="13667" width="2.7109375" style="760" customWidth="1"/>
    <col min="13668" max="13678" width="7.28515625" style="760" customWidth="1"/>
    <col min="13679" max="13890" width="11.42578125" style="760"/>
    <col min="13891" max="13897" width="2.7109375" style="760" customWidth="1"/>
    <col min="13898" max="13898" width="2.85546875" style="760" customWidth="1"/>
    <col min="13899" max="13899" width="2.7109375" style="760" customWidth="1"/>
    <col min="13900" max="13900" width="3" style="760" customWidth="1"/>
    <col min="13901" max="13916" width="2.7109375" style="760" customWidth="1"/>
    <col min="13917" max="13917" width="4" style="760" customWidth="1"/>
    <col min="13918" max="13923" width="2.7109375" style="760" customWidth="1"/>
    <col min="13924" max="13934" width="7.28515625" style="760" customWidth="1"/>
    <col min="13935" max="14146" width="11.42578125" style="760"/>
    <col min="14147" max="14153" width="2.7109375" style="760" customWidth="1"/>
    <col min="14154" max="14154" width="2.85546875" style="760" customWidth="1"/>
    <col min="14155" max="14155" width="2.7109375" style="760" customWidth="1"/>
    <col min="14156" max="14156" width="3" style="760" customWidth="1"/>
    <col min="14157" max="14172" width="2.7109375" style="760" customWidth="1"/>
    <col min="14173" max="14173" width="4" style="760" customWidth="1"/>
    <col min="14174" max="14179" width="2.7109375" style="760" customWidth="1"/>
    <col min="14180" max="14190" width="7.28515625" style="760" customWidth="1"/>
    <col min="14191" max="14402" width="11.42578125" style="760"/>
    <col min="14403" max="14409" width="2.7109375" style="760" customWidth="1"/>
    <col min="14410" max="14410" width="2.85546875" style="760" customWidth="1"/>
    <col min="14411" max="14411" width="2.7109375" style="760" customWidth="1"/>
    <col min="14412" max="14412" width="3" style="760" customWidth="1"/>
    <col min="14413" max="14428" width="2.7109375" style="760" customWidth="1"/>
    <col min="14429" max="14429" width="4" style="760" customWidth="1"/>
    <col min="14430" max="14435" width="2.7109375" style="760" customWidth="1"/>
    <col min="14436" max="14446" width="7.28515625" style="760" customWidth="1"/>
    <col min="14447" max="14658" width="11.42578125" style="760"/>
    <col min="14659" max="14665" width="2.7109375" style="760" customWidth="1"/>
    <col min="14666" max="14666" width="2.85546875" style="760" customWidth="1"/>
    <col min="14667" max="14667" width="2.7109375" style="760" customWidth="1"/>
    <col min="14668" max="14668" width="3" style="760" customWidth="1"/>
    <col min="14669" max="14684" width="2.7109375" style="760" customWidth="1"/>
    <col min="14685" max="14685" width="4" style="760" customWidth="1"/>
    <col min="14686" max="14691" width="2.7109375" style="760" customWidth="1"/>
    <col min="14692" max="14702" width="7.28515625" style="760" customWidth="1"/>
    <col min="14703" max="14914" width="11.42578125" style="760"/>
    <col min="14915" max="14921" width="2.7109375" style="760" customWidth="1"/>
    <col min="14922" max="14922" width="2.85546875" style="760" customWidth="1"/>
    <col min="14923" max="14923" width="2.7109375" style="760" customWidth="1"/>
    <col min="14924" max="14924" width="3" style="760" customWidth="1"/>
    <col min="14925" max="14940" width="2.7109375" style="760" customWidth="1"/>
    <col min="14941" max="14941" width="4" style="760" customWidth="1"/>
    <col min="14942" max="14947" width="2.7109375" style="760" customWidth="1"/>
    <col min="14948" max="14958" width="7.28515625" style="760" customWidth="1"/>
    <col min="14959" max="15170" width="11.42578125" style="760"/>
    <col min="15171" max="15177" width="2.7109375" style="760" customWidth="1"/>
    <col min="15178" max="15178" width="2.85546875" style="760" customWidth="1"/>
    <col min="15179" max="15179" width="2.7109375" style="760" customWidth="1"/>
    <col min="15180" max="15180" width="3" style="760" customWidth="1"/>
    <col min="15181" max="15196" width="2.7109375" style="760" customWidth="1"/>
    <col min="15197" max="15197" width="4" style="760" customWidth="1"/>
    <col min="15198" max="15203" width="2.7109375" style="760" customWidth="1"/>
    <col min="15204" max="15214" width="7.28515625" style="760" customWidth="1"/>
    <col min="15215" max="15426" width="11.42578125" style="760"/>
    <col min="15427" max="15433" width="2.7109375" style="760" customWidth="1"/>
    <col min="15434" max="15434" width="2.85546875" style="760" customWidth="1"/>
    <col min="15435" max="15435" width="2.7109375" style="760" customWidth="1"/>
    <col min="15436" max="15436" width="3" style="760" customWidth="1"/>
    <col min="15437" max="15452" width="2.7109375" style="760" customWidth="1"/>
    <col min="15453" max="15453" width="4" style="760" customWidth="1"/>
    <col min="15454" max="15459" width="2.7109375" style="760" customWidth="1"/>
    <col min="15460" max="15470" width="7.28515625" style="760" customWidth="1"/>
    <col min="15471" max="15682" width="11.42578125" style="760"/>
    <col min="15683" max="15689" width="2.7109375" style="760" customWidth="1"/>
    <col min="15690" max="15690" width="2.85546875" style="760" customWidth="1"/>
    <col min="15691" max="15691" width="2.7109375" style="760" customWidth="1"/>
    <col min="15692" max="15692" width="3" style="760" customWidth="1"/>
    <col min="15693" max="15708" width="2.7109375" style="760" customWidth="1"/>
    <col min="15709" max="15709" width="4" style="760" customWidth="1"/>
    <col min="15710" max="15715" width="2.7109375" style="760" customWidth="1"/>
    <col min="15716" max="15726" width="7.28515625" style="760" customWidth="1"/>
    <col min="15727" max="15938" width="11.42578125" style="760"/>
    <col min="15939" max="15945" width="2.7109375" style="760" customWidth="1"/>
    <col min="15946" max="15946" width="2.85546875" style="760" customWidth="1"/>
    <col min="15947" max="15947" width="2.7109375" style="760" customWidth="1"/>
    <col min="15948" max="15948" width="3" style="760" customWidth="1"/>
    <col min="15949" max="15964" width="2.7109375" style="760" customWidth="1"/>
    <col min="15965" max="15965" width="4" style="760" customWidth="1"/>
    <col min="15966" max="15971" width="2.7109375" style="760" customWidth="1"/>
    <col min="15972" max="15982" width="7.28515625" style="760" customWidth="1"/>
    <col min="15983" max="16194" width="11.42578125" style="760"/>
    <col min="16195" max="16201" width="2.7109375" style="760" customWidth="1"/>
    <col min="16202" max="16202" width="2.85546875" style="760" customWidth="1"/>
    <col min="16203" max="16203" width="2.7109375" style="760" customWidth="1"/>
    <col min="16204" max="16204" width="3" style="760" customWidth="1"/>
    <col min="16205" max="16220" width="2.7109375" style="760" customWidth="1"/>
    <col min="16221" max="16221" width="4" style="760" customWidth="1"/>
    <col min="16222" max="16227" width="2.7109375" style="760" customWidth="1"/>
    <col min="16228" max="16238" width="7.28515625" style="760" customWidth="1"/>
    <col min="16239" max="16384" width="11.42578125" style="760"/>
  </cols>
  <sheetData>
    <row r="1" spans="1:150" ht="15.95" customHeight="1">
      <c r="A1" s="1479"/>
      <c r="B1" s="1480"/>
      <c r="C1" s="1480"/>
      <c r="D1" s="1480"/>
      <c r="E1" s="1480"/>
      <c r="F1" s="1480"/>
      <c r="G1" s="1480"/>
      <c r="H1" s="1480"/>
      <c r="I1" s="1481"/>
      <c r="J1" s="1505" t="s">
        <v>564</v>
      </c>
      <c r="K1" s="1506"/>
      <c r="L1" s="1506"/>
      <c r="M1" s="1506"/>
      <c r="N1" s="1506"/>
      <c r="O1" s="1506"/>
      <c r="P1" s="1506"/>
      <c r="Q1" s="1506"/>
      <c r="R1" s="1506"/>
      <c r="S1" s="1506"/>
      <c r="T1" s="1506"/>
      <c r="U1" s="1506"/>
      <c r="V1" s="1506"/>
      <c r="W1" s="1506"/>
      <c r="X1" s="1506"/>
      <c r="Y1" s="1506"/>
      <c r="Z1" s="1506"/>
      <c r="AA1" s="1506"/>
      <c r="AB1" s="1506"/>
      <c r="AC1" s="1506"/>
      <c r="AD1" s="1506"/>
      <c r="AE1" s="1506"/>
      <c r="AF1" s="1506"/>
      <c r="AG1" s="1506"/>
      <c r="AH1" s="1506"/>
      <c r="AI1" s="1506"/>
      <c r="AJ1" s="1506"/>
      <c r="AK1" s="1506"/>
      <c r="AL1" s="1506"/>
      <c r="AM1" s="1506"/>
      <c r="AN1" s="1507"/>
      <c r="AO1" s="836"/>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63" t="s">
        <v>374</v>
      </c>
    </row>
    <row r="2" spans="1:150" ht="15.95" customHeight="1">
      <c r="A2" s="1482"/>
      <c r="B2" s="1483"/>
      <c r="C2" s="1483"/>
      <c r="D2" s="1483"/>
      <c r="E2" s="1483"/>
      <c r="F2" s="1483"/>
      <c r="G2" s="1483"/>
      <c r="H2" s="1483"/>
      <c r="I2" s="1484"/>
      <c r="J2" s="1508"/>
      <c r="K2" s="1509"/>
      <c r="L2" s="1509"/>
      <c r="M2" s="1509"/>
      <c r="N2" s="1509"/>
      <c r="O2" s="1509"/>
      <c r="P2" s="1509"/>
      <c r="Q2" s="1509"/>
      <c r="R2" s="1509"/>
      <c r="S2" s="1509"/>
      <c r="T2" s="1509"/>
      <c r="U2" s="1509"/>
      <c r="V2" s="1509"/>
      <c r="W2" s="1509"/>
      <c r="X2" s="1509"/>
      <c r="Y2" s="1509"/>
      <c r="Z2" s="1509"/>
      <c r="AA2" s="1509"/>
      <c r="AB2" s="1509"/>
      <c r="AC2" s="1509"/>
      <c r="AD2" s="1509"/>
      <c r="AE2" s="1509"/>
      <c r="AF2" s="1509"/>
      <c r="AG2" s="1509"/>
      <c r="AH2" s="1509"/>
      <c r="AI2" s="1509"/>
      <c r="AJ2" s="1509"/>
      <c r="AK2" s="1509"/>
      <c r="AL2" s="1509"/>
      <c r="AM2" s="1509"/>
      <c r="AN2" s="1510"/>
      <c r="AO2" s="82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63" t="s">
        <v>319</v>
      </c>
    </row>
    <row r="3" spans="1:150" ht="15.95" customHeight="1">
      <c r="A3" s="1482"/>
      <c r="B3" s="1483"/>
      <c r="C3" s="1483"/>
      <c r="D3" s="1483"/>
      <c r="E3" s="1483"/>
      <c r="F3" s="1483"/>
      <c r="G3" s="1483"/>
      <c r="H3" s="1483"/>
      <c r="I3" s="1484"/>
      <c r="J3" s="1511"/>
      <c r="K3" s="1512"/>
      <c r="L3" s="1512"/>
      <c r="M3" s="1512"/>
      <c r="N3" s="1512"/>
      <c r="O3" s="1512"/>
      <c r="P3" s="1512"/>
      <c r="Q3" s="1512"/>
      <c r="R3" s="1512"/>
      <c r="S3" s="1512"/>
      <c r="T3" s="1512"/>
      <c r="U3" s="1512"/>
      <c r="V3" s="1512"/>
      <c r="W3" s="1512"/>
      <c r="X3" s="1512"/>
      <c r="Y3" s="1512"/>
      <c r="Z3" s="1512"/>
      <c r="AA3" s="1512"/>
      <c r="AB3" s="1512"/>
      <c r="AC3" s="1512"/>
      <c r="AD3" s="1512"/>
      <c r="AE3" s="1512"/>
      <c r="AF3" s="1512"/>
      <c r="AG3" s="1512"/>
      <c r="AH3" s="1512"/>
      <c r="AI3" s="1512"/>
      <c r="AJ3" s="1512"/>
      <c r="AK3" s="1512"/>
      <c r="AL3" s="1512"/>
      <c r="AM3" s="1512"/>
      <c r="AN3" s="1513"/>
      <c r="AO3" s="836"/>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63" t="s">
        <v>27</v>
      </c>
    </row>
    <row r="4" spans="1:150" ht="15.95" customHeight="1">
      <c r="A4" s="1482"/>
      <c r="B4" s="1483"/>
      <c r="C4" s="1483"/>
      <c r="D4" s="1483"/>
      <c r="E4" s="1483"/>
      <c r="F4" s="1483"/>
      <c r="G4" s="1483"/>
      <c r="H4" s="1483"/>
      <c r="I4" s="1484"/>
      <c r="J4" s="1488" t="s">
        <v>546</v>
      </c>
      <c r="K4" s="1489"/>
      <c r="L4" s="1489"/>
      <c r="M4" s="1489"/>
      <c r="N4" s="1489"/>
      <c r="O4" s="1489"/>
      <c r="P4" s="1489"/>
      <c r="Q4" s="1489"/>
      <c r="R4" s="1489"/>
      <c r="S4" s="1489"/>
      <c r="T4" s="1489"/>
      <c r="U4" s="1489"/>
      <c r="V4" s="1489"/>
      <c r="W4" s="1489"/>
      <c r="X4" s="1489"/>
      <c r="Y4" s="1489"/>
      <c r="Z4" s="1489"/>
      <c r="AA4" s="1489"/>
      <c r="AB4" s="1489"/>
      <c r="AC4" s="1490"/>
      <c r="AD4" s="1491" t="s">
        <v>568</v>
      </c>
      <c r="AE4" s="1492"/>
      <c r="AF4" s="1492"/>
      <c r="AG4" s="1492"/>
      <c r="AH4" s="1492"/>
      <c r="AI4" s="1492"/>
      <c r="AJ4" s="1492"/>
      <c r="AK4" s="1492"/>
      <c r="AL4" s="1492"/>
      <c r="AM4" s="1492"/>
      <c r="AN4" s="1493"/>
      <c r="AO4" s="837"/>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63" t="s">
        <v>26</v>
      </c>
      <c r="BT4" s="235"/>
    </row>
    <row r="5" spans="1:150" ht="15.95" customHeight="1">
      <c r="A5" s="1485"/>
      <c r="B5" s="1486"/>
      <c r="C5" s="1486"/>
      <c r="D5" s="1486"/>
      <c r="E5" s="1486"/>
      <c r="F5" s="1486"/>
      <c r="G5" s="1486"/>
      <c r="H5" s="1486"/>
      <c r="I5" s="1487"/>
      <c r="J5" s="1494" t="s">
        <v>567</v>
      </c>
      <c r="K5" s="1495"/>
      <c r="L5" s="1495"/>
      <c r="M5" s="1495"/>
      <c r="N5" s="1495"/>
      <c r="O5" s="1495"/>
      <c r="P5" s="1495"/>
      <c r="Q5" s="1495"/>
      <c r="R5" s="1495"/>
      <c r="S5" s="1495"/>
      <c r="T5" s="1495"/>
      <c r="U5" s="1495"/>
      <c r="V5" s="1495"/>
      <c r="W5" s="1495"/>
      <c r="X5" s="1495"/>
      <c r="Y5" s="1495"/>
      <c r="Z5" s="1495"/>
      <c r="AA5" s="1495"/>
      <c r="AB5" s="1495"/>
      <c r="AC5" s="1495"/>
      <c r="AD5" s="1495"/>
      <c r="AE5" s="1495"/>
      <c r="AF5" s="1495"/>
      <c r="AG5" s="1495"/>
      <c r="AH5" s="1495"/>
      <c r="AI5" s="1495"/>
      <c r="AJ5" s="1495"/>
      <c r="AK5" s="1495"/>
      <c r="AL5" s="1495"/>
      <c r="AM5" s="1495"/>
      <c r="AN5" s="1496"/>
      <c r="AO5" s="846"/>
      <c r="AQ5" s="236"/>
      <c r="AR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63" t="s">
        <v>320</v>
      </c>
    </row>
    <row r="6" spans="1:150" ht="14.1" customHeight="1">
      <c r="A6" s="820"/>
      <c r="B6" s="821"/>
      <c r="C6" s="821"/>
      <c r="D6" s="821"/>
      <c r="E6" s="850"/>
      <c r="F6" s="850"/>
      <c r="G6" s="850"/>
      <c r="H6" s="850"/>
      <c r="I6" s="850"/>
      <c r="J6" s="850"/>
      <c r="K6" s="850"/>
      <c r="L6" s="850"/>
      <c r="M6" s="850"/>
      <c r="N6" s="850"/>
      <c r="O6" s="850"/>
      <c r="P6" s="850"/>
      <c r="Q6" s="850"/>
      <c r="R6" s="850"/>
      <c r="S6" s="850"/>
      <c r="T6" s="850"/>
      <c r="U6" s="850"/>
      <c r="W6" s="798"/>
      <c r="X6" s="798"/>
      <c r="Y6" s="798"/>
      <c r="Z6" s="798"/>
      <c r="AA6" s="798"/>
      <c r="AB6" s="798"/>
      <c r="AC6" s="798"/>
      <c r="AD6" s="798"/>
      <c r="AE6" s="798"/>
      <c r="AF6" s="798"/>
      <c r="AG6" s="798"/>
      <c r="AH6" s="798"/>
      <c r="AI6" s="798"/>
      <c r="AJ6" s="851"/>
      <c r="AK6" s="851"/>
      <c r="AL6" s="851"/>
      <c r="AM6" s="851"/>
      <c r="AN6" s="852"/>
      <c r="AO6" s="831" t="s">
        <v>556</v>
      </c>
      <c r="AR6" s="237"/>
      <c r="AT6" s="237"/>
      <c r="AU6" s="237"/>
      <c r="AV6" s="237"/>
      <c r="AW6" s="237"/>
      <c r="AX6" s="237"/>
      <c r="AY6" s="237"/>
      <c r="AZ6" s="237"/>
      <c r="BA6" s="237"/>
      <c r="BB6" s="237"/>
      <c r="BC6" s="237"/>
      <c r="BD6" s="237"/>
      <c r="BE6" s="237"/>
      <c r="BF6" s="237"/>
      <c r="BG6" s="237"/>
      <c r="BH6" s="237"/>
      <c r="BI6" s="237"/>
      <c r="BJ6" s="237"/>
      <c r="BK6" s="237"/>
      <c r="BL6" s="237"/>
      <c r="BM6" s="237"/>
      <c r="BN6" s="237"/>
      <c r="BO6" s="237"/>
      <c r="BP6" s="237"/>
      <c r="BQ6" s="237"/>
      <c r="BR6" s="237"/>
      <c r="BS6" s="263" t="s">
        <v>321</v>
      </c>
    </row>
    <row r="7" spans="1:150" s="240" customFormat="1" ht="14.1" customHeight="1">
      <c r="A7" s="823"/>
      <c r="B7" s="824"/>
      <c r="C7" s="824"/>
      <c r="D7" s="824"/>
      <c r="E7" s="849"/>
      <c r="F7" s="849"/>
      <c r="G7" s="849"/>
      <c r="H7" s="849"/>
      <c r="I7" s="849"/>
      <c r="J7" s="849"/>
      <c r="K7" s="849"/>
      <c r="L7" s="849"/>
      <c r="M7" s="849"/>
      <c r="N7" s="849"/>
      <c r="O7" s="849"/>
      <c r="P7" s="849"/>
      <c r="Q7" s="849"/>
      <c r="R7" s="849"/>
      <c r="S7" s="849"/>
      <c r="T7" s="849"/>
      <c r="U7" s="849"/>
      <c r="V7" s="786"/>
      <c r="W7" s="830"/>
      <c r="X7" s="830"/>
      <c r="Y7" s="830"/>
      <c r="Z7" s="830"/>
      <c r="AA7" s="830"/>
      <c r="AB7" s="830"/>
      <c r="AC7" s="1502" t="s">
        <v>18</v>
      </c>
      <c r="AD7" s="1502"/>
      <c r="AE7" s="1502"/>
      <c r="AF7" s="1503"/>
      <c r="AG7" s="1503"/>
      <c r="AH7" s="1503"/>
      <c r="AI7" s="1503"/>
      <c r="AJ7" s="1503"/>
      <c r="AK7" s="1503"/>
      <c r="AL7" s="1503"/>
      <c r="AM7" s="848"/>
      <c r="AN7" s="838"/>
      <c r="AO7" s="832" t="s">
        <v>557</v>
      </c>
      <c r="AR7" s="238"/>
      <c r="AT7" s="238"/>
      <c r="AU7" s="238"/>
      <c r="AV7" s="238"/>
      <c r="AW7" s="238"/>
      <c r="AX7" s="238"/>
      <c r="AY7" s="238"/>
      <c r="AZ7" s="238"/>
      <c r="BA7" s="238"/>
      <c r="BB7" s="238"/>
      <c r="BC7" s="238"/>
      <c r="BD7" s="238"/>
      <c r="BE7" s="238"/>
      <c r="BF7" s="238"/>
      <c r="BG7" s="238"/>
      <c r="BH7" s="238"/>
      <c r="BI7" s="238"/>
      <c r="BJ7" s="238"/>
      <c r="BK7" s="238"/>
      <c r="BL7" s="238"/>
      <c r="BM7" s="238"/>
      <c r="BN7" s="238"/>
      <c r="BO7" s="238"/>
      <c r="BP7" s="238"/>
      <c r="BQ7" s="238"/>
      <c r="BR7" s="238"/>
      <c r="BS7" s="263" t="s">
        <v>322</v>
      </c>
      <c r="BT7" s="239"/>
      <c r="BV7" s="241"/>
      <c r="BW7" s="241"/>
      <c r="BX7" s="241"/>
      <c r="BY7" s="241"/>
      <c r="BZ7" s="241"/>
      <c r="CA7" s="241"/>
      <c r="CB7" s="241"/>
      <c r="CC7" s="241"/>
      <c r="CD7" s="241"/>
      <c r="CE7" s="241"/>
      <c r="CF7" s="241"/>
      <c r="CG7" s="241"/>
      <c r="CH7" s="241"/>
      <c r="CI7" s="241"/>
      <c r="CJ7" s="241"/>
      <c r="CK7" s="241"/>
      <c r="CL7" s="241"/>
      <c r="CM7" s="241"/>
      <c r="CN7" s="241"/>
      <c r="CO7" s="241"/>
      <c r="CP7" s="241"/>
      <c r="CQ7" s="241"/>
      <c r="CR7" s="241"/>
      <c r="CS7" s="241"/>
      <c r="CT7" s="661"/>
      <c r="CU7" s="661"/>
      <c r="CV7" s="661"/>
      <c r="CW7" s="661"/>
      <c r="CX7" s="661"/>
      <c r="CY7" s="661"/>
      <c r="CZ7" s="661"/>
      <c r="DA7" s="661"/>
      <c r="DB7" s="661"/>
      <c r="DC7" s="661"/>
      <c r="DD7" s="661"/>
      <c r="DE7" s="661"/>
      <c r="DF7" s="661"/>
      <c r="DG7" s="661"/>
      <c r="DH7" s="661"/>
      <c r="DI7" s="661"/>
      <c r="DJ7" s="661"/>
      <c r="DK7" s="661"/>
      <c r="DL7" s="661"/>
      <c r="DM7" s="661"/>
      <c r="DN7" s="661"/>
      <c r="DO7" s="661"/>
      <c r="DP7" s="661"/>
      <c r="DQ7" s="661"/>
      <c r="DR7" s="661"/>
      <c r="DS7" s="661"/>
      <c r="DT7" s="661"/>
    </row>
    <row r="8" spans="1:150" s="240" customFormat="1" ht="14.1" customHeight="1">
      <c r="A8" s="823"/>
      <c r="B8" s="824"/>
      <c r="C8" s="824"/>
      <c r="D8" s="786"/>
      <c r="K8" s="824"/>
      <c r="L8" s="824"/>
      <c r="M8" s="824"/>
      <c r="N8" s="824"/>
      <c r="O8" s="853"/>
      <c r="P8" s="853"/>
      <c r="Q8" s="853"/>
      <c r="R8" s="853"/>
      <c r="S8" s="853"/>
      <c r="T8" s="853"/>
      <c r="U8" s="853"/>
      <c r="V8" s="853"/>
      <c r="W8" s="853"/>
      <c r="X8" s="853"/>
      <c r="Y8" s="853"/>
      <c r="Z8" s="853"/>
      <c r="AA8" s="853"/>
      <c r="AB8" s="853"/>
      <c r="AC8" s="853"/>
      <c r="AD8" s="824"/>
      <c r="AE8" s="824"/>
      <c r="AF8" s="1504" t="str">
        <f>IF(AI7="",AO11,CONCATENATE(AO7," ",AO8," ",AO9," ", AO10))</f>
        <v>Pagina xx de xx</v>
      </c>
      <c r="AG8" s="1504"/>
      <c r="AH8" s="1504"/>
      <c r="AI8" s="1504"/>
      <c r="AJ8" s="1504"/>
      <c r="AK8" s="1504"/>
      <c r="AL8" s="1504"/>
      <c r="AM8" s="854"/>
      <c r="AN8" s="855"/>
      <c r="AO8" s="833">
        <v>0</v>
      </c>
      <c r="AP8" s="1478" t="s">
        <v>560</v>
      </c>
      <c r="AQ8" s="1478"/>
      <c r="AR8" s="1478"/>
      <c r="AT8" s="4"/>
      <c r="AU8" s="4"/>
      <c r="AV8" s="4"/>
      <c r="AW8" s="4"/>
      <c r="AX8" s="4"/>
      <c r="AY8" s="4"/>
      <c r="AZ8" s="4"/>
      <c r="BA8" s="4"/>
      <c r="BB8" s="4"/>
      <c r="BC8" s="4"/>
      <c r="BD8" s="4"/>
      <c r="BE8" s="4"/>
      <c r="BF8" s="4"/>
      <c r="BG8" s="4"/>
      <c r="BH8" s="4"/>
      <c r="BI8" s="4"/>
      <c r="BJ8" s="4"/>
      <c r="BK8" s="4"/>
      <c r="BL8" s="4"/>
      <c r="BM8" s="4"/>
      <c r="BN8" s="4"/>
      <c r="BO8" s="4"/>
      <c r="BP8" s="4"/>
      <c r="BQ8" s="4"/>
      <c r="BR8" s="4"/>
      <c r="BS8" s="240" t="s">
        <v>375</v>
      </c>
      <c r="BT8" s="4"/>
      <c r="BV8" s="4"/>
      <c r="BW8" s="4"/>
      <c r="BX8" s="4"/>
      <c r="BY8" s="4"/>
      <c r="BZ8" s="4"/>
      <c r="CA8" s="4"/>
      <c r="CB8" s="4"/>
      <c r="CC8" s="4"/>
      <c r="CD8" s="4"/>
      <c r="CE8" s="4"/>
      <c r="CF8" s="4"/>
      <c r="CG8" s="4"/>
      <c r="CH8" s="4"/>
      <c r="CI8" s="4"/>
      <c r="CJ8" s="4"/>
      <c r="CK8" s="4"/>
      <c r="CL8" s="4"/>
      <c r="CM8" s="4"/>
      <c r="CN8" s="4"/>
      <c r="CO8" s="4"/>
      <c r="CP8" s="4"/>
      <c r="CQ8" s="4"/>
      <c r="CR8" s="4"/>
      <c r="CS8" s="4"/>
      <c r="CT8" s="661"/>
      <c r="CU8" s="661"/>
      <c r="CV8" s="661"/>
      <c r="CW8" s="661"/>
      <c r="CX8" s="661"/>
      <c r="CY8" s="661"/>
      <c r="CZ8" s="661"/>
      <c r="DA8" s="661"/>
      <c r="DB8" s="661"/>
      <c r="DC8" s="661"/>
      <c r="DD8" s="661"/>
      <c r="DE8" s="661"/>
      <c r="DF8" s="661"/>
      <c r="DG8" s="661"/>
      <c r="DH8" s="661"/>
      <c r="DI8" s="661"/>
      <c r="DJ8" s="661"/>
      <c r="DK8" s="661"/>
      <c r="DL8" s="661"/>
      <c r="DM8" s="661"/>
      <c r="DN8" s="661"/>
      <c r="DO8" s="661"/>
      <c r="DP8" s="661"/>
      <c r="DQ8" s="661"/>
      <c r="DR8" s="661"/>
      <c r="DS8" s="661"/>
      <c r="DT8" s="661"/>
    </row>
    <row r="9" spans="1:150" s="240" customFormat="1" ht="14.1" customHeight="1">
      <c r="A9" s="823"/>
      <c r="B9" s="824"/>
      <c r="C9" s="824"/>
      <c r="D9" s="824"/>
      <c r="E9" s="849"/>
      <c r="F9" s="849"/>
      <c r="G9" s="849"/>
      <c r="H9" s="849"/>
      <c r="I9" s="849"/>
      <c r="J9" s="849"/>
      <c r="K9" s="824"/>
      <c r="L9" s="824"/>
      <c r="M9" s="824"/>
      <c r="N9" s="824"/>
      <c r="O9" s="853"/>
      <c r="P9" s="853"/>
      <c r="Q9" s="853"/>
      <c r="R9" s="853"/>
      <c r="S9" s="853"/>
      <c r="T9" s="853"/>
      <c r="U9" s="853"/>
      <c r="V9" s="853"/>
      <c r="W9" s="853"/>
      <c r="X9" s="853"/>
      <c r="Y9" s="853"/>
      <c r="Z9" s="853"/>
      <c r="AA9" s="853"/>
      <c r="AB9" s="853"/>
      <c r="AC9" s="853"/>
      <c r="AD9" s="824"/>
      <c r="AE9" s="824"/>
      <c r="AF9" s="824"/>
      <c r="AG9" s="824"/>
      <c r="AH9" s="824"/>
      <c r="AI9" s="824"/>
      <c r="AJ9" s="856"/>
      <c r="AK9" s="856"/>
      <c r="AL9" s="856"/>
      <c r="AM9" s="856"/>
      <c r="AN9" s="857"/>
      <c r="AO9" s="834" t="s">
        <v>558</v>
      </c>
      <c r="AP9" s="847" t="str">
        <f>IF(AI7="","",IF(SUM(I15:P25)=SUM(I55:P76),"Cumple","No cumple"))</f>
        <v/>
      </c>
      <c r="AQ9" s="847" t="str">
        <f>IF(AI7="","",IF(AP9="No cumple",1,0))</f>
        <v/>
      </c>
      <c r="AR9" s="847"/>
      <c r="BV9" s="241"/>
      <c r="BW9" s="241"/>
      <c r="BX9" s="241"/>
      <c r="BY9" s="241"/>
      <c r="BZ9" s="241"/>
      <c r="CA9" s="241"/>
      <c r="CB9" s="241"/>
      <c r="CC9" s="241"/>
      <c r="CD9" s="241"/>
      <c r="CE9" s="241"/>
      <c r="CF9" s="241"/>
      <c r="CG9" s="241"/>
      <c r="CH9" s="241"/>
      <c r="CI9" s="241"/>
      <c r="CJ9" s="241"/>
      <c r="CK9" s="241"/>
      <c r="CL9" s="241"/>
      <c r="CM9" s="241"/>
      <c r="CN9" s="241"/>
      <c r="CO9" s="241"/>
      <c r="CP9" s="241"/>
      <c r="CQ9" s="241"/>
      <c r="CR9" s="241"/>
      <c r="CS9" s="241"/>
      <c r="CT9" s="661"/>
      <c r="CU9" s="661"/>
      <c r="CV9" s="661"/>
      <c r="CW9" s="661"/>
      <c r="CX9" s="661"/>
      <c r="CY9" s="661"/>
      <c r="CZ9" s="661"/>
      <c r="DA9" s="661"/>
      <c r="DB9" s="661"/>
      <c r="DC9" s="661"/>
      <c r="DD9" s="661"/>
      <c r="DE9" s="661"/>
      <c r="DF9" s="661"/>
      <c r="DG9" s="661"/>
      <c r="DH9" s="661"/>
      <c r="DI9" s="661"/>
      <c r="DJ9" s="661"/>
      <c r="DK9" s="661"/>
      <c r="DL9" s="661"/>
      <c r="DM9" s="661"/>
      <c r="DN9" s="661"/>
      <c r="DO9" s="661"/>
      <c r="DP9" s="661"/>
      <c r="DQ9" s="661"/>
      <c r="DR9" s="661"/>
      <c r="DS9" s="661"/>
      <c r="DT9" s="661"/>
    </row>
    <row r="10" spans="1:150" s="240" customFormat="1" ht="11.25" customHeight="1">
      <c r="A10" s="825"/>
      <c r="B10" s="826"/>
      <c r="C10" s="826"/>
      <c r="D10" s="826"/>
      <c r="E10" s="858"/>
      <c r="F10" s="858"/>
      <c r="G10" s="858"/>
      <c r="H10" s="858"/>
      <c r="I10" s="858"/>
      <c r="J10" s="858"/>
      <c r="K10" s="858"/>
      <c r="L10" s="858"/>
      <c r="M10" s="858"/>
      <c r="N10" s="858"/>
      <c r="O10" s="858"/>
      <c r="P10" s="858"/>
      <c r="Q10" s="858"/>
      <c r="R10" s="858"/>
      <c r="S10" s="858"/>
      <c r="T10" s="858"/>
      <c r="U10" s="858"/>
      <c r="W10" s="799"/>
      <c r="X10" s="799"/>
      <c r="Y10" s="799"/>
      <c r="Z10" s="799"/>
      <c r="AA10" s="799"/>
      <c r="AB10" s="799"/>
      <c r="AC10" s="799"/>
      <c r="AD10" s="799"/>
      <c r="AE10" s="799"/>
      <c r="AF10" s="799"/>
      <c r="AG10" s="799"/>
      <c r="AH10" s="799"/>
      <c r="AI10" s="799"/>
      <c r="AJ10" s="859"/>
      <c r="AK10" s="859"/>
      <c r="AL10" s="859"/>
      <c r="AM10" s="859"/>
      <c r="AN10" s="860"/>
      <c r="AO10" s="834">
        <f>IF(AR6=AY6,AX7,"")</f>
        <v>0</v>
      </c>
      <c r="AQ10" s="630"/>
      <c r="AR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T10" s="239"/>
      <c r="BV10" s="241"/>
      <c r="BW10" s="241"/>
      <c r="BX10" s="241"/>
      <c r="BY10" s="241"/>
      <c r="BZ10" s="241"/>
      <c r="CA10" s="241"/>
      <c r="CB10" s="241"/>
      <c r="CC10" s="241"/>
      <c r="CD10" s="241"/>
      <c r="CE10" s="241"/>
      <c r="CF10" s="241"/>
      <c r="CG10" s="241"/>
      <c r="CH10" s="241"/>
      <c r="CI10" s="241"/>
      <c r="CJ10" s="241"/>
      <c r="CK10" s="241"/>
      <c r="CL10" s="241"/>
      <c r="CM10" s="241"/>
      <c r="CN10" s="241"/>
      <c r="CO10" s="241"/>
      <c r="CP10" s="241"/>
      <c r="CQ10" s="241"/>
      <c r="CR10" s="241"/>
      <c r="CS10" s="241"/>
      <c r="CT10" s="661"/>
      <c r="CU10" s="661"/>
      <c r="CV10" s="661"/>
      <c r="CW10" s="661"/>
      <c r="CX10" s="661"/>
      <c r="CY10" s="661"/>
      <c r="CZ10" s="661"/>
      <c r="DA10" s="661"/>
      <c r="DB10" s="661"/>
      <c r="DC10" s="661"/>
      <c r="DD10" s="661"/>
      <c r="DE10" s="661"/>
      <c r="DF10" s="661"/>
      <c r="DG10" s="661"/>
      <c r="DH10" s="661"/>
      <c r="DI10" s="661"/>
      <c r="DJ10" s="661"/>
      <c r="DK10" s="661"/>
      <c r="DL10" s="661"/>
      <c r="DM10" s="661"/>
      <c r="DN10" s="661"/>
      <c r="DO10" s="661"/>
      <c r="DP10" s="661"/>
      <c r="DQ10" s="661"/>
      <c r="DR10" s="661"/>
      <c r="DS10" s="661"/>
      <c r="DT10" s="661"/>
    </row>
    <row r="11" spans="1:150" s="240" customFormat="1" ht="12" customHeight="1">
      <c r="A11" s="1497" t="s">
        <v>396</v>
      </c>
      <c r="B11" s="1498"/>
      <c r="C11" s="1498"/>
      <c r="D11" s="1498"/>
      <c r="E11" s="1498"/>
      <c r="F11" s="1498"/>
      <c r="G11" s="1499" t="str">
        <f>IF(AE11="","",VLOOKUP(AE11,BS35:BX63,4,0))</f>
        <v/>
      </c>
      <c r="H11" s="1499"/>
      <c r="I11" s="1499"/>
      <c r="J11" s="1499"/>
      <c r="K11" s="1499"/>
      <c r="L11" s="1499"/>
      <c r="M11" s="1499"/>
      <c r="N11" s="1499"/>
      <c r="O11" s="1499"/>
      <c r="P11" s="1499"/>
      <c r="Q11" s="1499"/>
      <c r="R11" s="1499"/>
      <c r="S11" s="1499"/>
      <c r="T11" s="1499"/>
      <c r="U11" s="1499"/>
      <c r="V11" s="1499"/>
      <c r="W11" s="1499"/>
      <c r="X11" s="1499"/>
      <c r="Y11" s="1499"/>
      <c r="Z11" s="1499"/>
      <c r="AA11" s="1499"/>
      <c r="AB11" s="1499"/>
      <c r="AC11" s="1499"/>
      <c r="AD11" s="1499"/>
      <c r="AE11" s="1500"/>
      <c r="AF11" s="1500"/>
      <c r="AG11" s="1500"/>
      <c r="AH11" s="1500"/>
      <c r="AI11" s="1500"/>
      <c r="AJ11" s="1500"/>
      <c r="AK11" s="1500"/>
      <c r="AL11" s="1500"/>
      <c r="AM11" s="1500"/>
      <c r="AN11" s="1501"/>
      <c r="AO11" s="835" t="s">
        <v>559</v>
      </c>
      <c r="AP11" s="817" t="s">
        <v>459</v>
      </c>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T11" s="239"/>
      <c r="BU11" s="241"/>
      <c r="BV11" s="241"/>
      <c r="BW11" s="241"/>
      <c r="BX11" s="241"/>
      <c r="BY11" s="241"/>
      <c r="BZ11" s="241"/>
      <c r="CA11" s="241"/>
      <c r="CB11" s="241"/>
      <c r="CC11" s="241"/>
      <c r="CD11" s="241"/>
      <c r="CE11" s="241"/>
      <c r="CF11" s="241"/>
      <c r="CG11" s="241"/>
      <c r="CH11" s="241"/>
      <c r="CI11" s="241"/>
      <c r="CJ11" s="241"/>
      <c r="CK11" s="241"/>
      <c r="CL11" s="241"/>
      <c r="CM11" s="241"/>
      <c r="CN11" s="241"/>
      <c r="CO11" s="241"/>
      <c r="CP11" s="241"/>
      <c r="CQ11" s="241"/>
      <c r="CR11" s="241"/>
      <c r="CS11" s="241"/>
      <c r="CT11" s="661"/>
      <c r="CU11" s="661"/>
      <c r="CV11" s="661"/>
      <c r="CW11" s="661"/>
      <c r="CX11" s="661"/>
      <c r="CY11" s="661"/>
      <c r="CZ11" s="661"/>
      <c r="DA11" s="661"/>
      <c r="DB11" s="661"/>
      <c r="DC11" s="661"/>
      <c r="DD11" s="661"/>
      <c r="DE11" s="661"/>
      <c r="DF11" s="661"/>
      <c r="DG11" s="661"/>
      <c r="DH11" s="661"/>
      <c r="DI11" s="661"/>
      <c r="DJ11" s="661"/>
      <c r="DK11" s="661"/>
      <c r="DL11" s="661"/>
      <c r="DM11" s="661"/>
      <c r="DN11" s="661"/>
      <c r="DO11" s="661"/>
      <c r="DP11" s="661"/>
      <c r="DQ11" s="661"/>
      <c r="DR11" s="661"/>
      <c r="DS11" s="661"/>
      <c r="DT11" s="661"/>
    </row>
    <row r="12" spans="1:150" ht="23.25" customHeight="1">
      <c r="A12" s="1380" t="s">
        <v>234</v>
      </c>
      <c r="B12" s="1381"/>
      <c r="C12" s="1381"/>
      <c r="D12" s="1381"/>
      <c r="E12" s="1381"/>
      <c r="F12" s="1381"/>
      <c r="G12" s="1381"/>
      <c r="H12" s="1381"/>
      <c r="I12" s="1444">
        <f>+IF(I52="","",I52)</f>
        <v>0</v>
      </c>
      <c r="J12" s="1444"/>
      <c r="K12" s="1444"/>
      <c r="L12" s="1444"/>
      <c r="M12" s="1445"/>
      <c r="N12" s="1476" t="s">
        <v>565</v>
      </c>
      <c r="O12" s="1477"/>
      <c r="P12" s="1477"/>
      <c r="Q12" s="1477"/>
      <c r="R12" s="1477"/>
      <c r="S12" s="1477"/>
      <c r="T12" s="1477"/>
      <c r="U12" s="1477"/>
      <c r="V12" s="1477"/>
      <c r="W12" s="1477"/>
      <c r="X12" s="1477"/>
      <c r="Y12" s="1477"/>
      <c r="Z12" s="1477"/>
      <c r="AA12" s="1477"/>
      <c r="AB12" s="1477"/>
      <c r="AC12" s="1477"/>
      <c r="AD12" s="1477"/>
      <c r="AE12" s="1477"/>
      <c r="AF12" s="1477"/>
      <c r="AG12" s="1446">
        <f>IF(AG52="","",AG52)</f>
        <v>0</v>
      </c>
      <c r="AH12" s="1446"/>
      <c r="AI12" s="1446"/>
      <c r="AJ12" s="1446"/>
      <c r="AK12" s="1446"/>
      <c r="AL12" s="1446"/>
      <c r="AM12" s="1446"/>
      <c r="AN12" s="1447"/>
      <c r="AP12" s="818" t="str">
        <f>IF(AI7="","",IF(((1-(AP13/I12))*100)&gt;0.3,"No cumple","cumple"))</f>
        <v/>
      </c>
      <c r="AQ12" s="1473" t="s">
        <v>475</v>
      </c>
      <c r="AR12" s="1473"/>
      <c r="AS12" s="1473"/>
      <c r="AT12" s="1473"/>
      <c r="AU12" s="1473"/>
      <c r="AV12" s="1473"/>
      <c r="AW12" s="1473"/>
      <c r="AX12" s="1473"/>
      <c r="AY12" s="1473"/>
      <c r="AZ12" s="1473"/>
      <c r="BA12" s="1473"/>
      <c r="BB12" s="1473"/>
      <c r="BC12" s="1473"/>
      <c r="BD12" s="1473"/>
      <c r="BE12" s="1473"/>
      <c r="BF12" s="1473"/>
      <c r="BG12" s="1473"/>
      <c r="BH12" s="1473"/>
      <c r="BI12" s="1473"/>
      <c r="BJ12" s="1473"/>
      <c r="BK12" s="1473"/>
      <c r="BL12" s="1473"/>
      <c r="BM12" s="1473"/>
      <c r="BN12" s="1473"/>
      <c r="BO12" s="1474"/>
      <c r="BP12" s="1474"/>
      <c r="BQ12" s="1475"/>
      <c r="BR12" s="628"/>
      <c r="BS12" s="1448" t="s">
        <v>422</v>
      </c>
      <c r="BT12" s="1449"/>
      <c r="BU12" s="1449"/>
      <c r="BV12" s="1449"/>
      <c r="BW12" s="1449"/>
      <c r="BX12" s="1449"/>
      <c r="BY12" s="1449"/>
      <c r="BZ12" s="1449"/>
      <c r="CA12" s="1449"/>
      <c r="CB12" s="1449"/>
      <c r="CC12" s="1449"/>
      <c r="CD12" s="1449"/>
      <c r="CE12" s="1449"/>
      <c r="CF12" s="1449"/>
      <c r="CG12" s="1449"/>
      <c r="CH12" s="1449"/>
      <c r="CI12" s="1449"/>
      <c r="CJ12" s="1449"/>
      <c r="CK12" s="1449"/>
      <c r="CL12" s="1449"/>
      <c r="CM12" s="1449"/>
      <c r="CN12" s="1449"/>
      <c r="CO12" s="1449"/>
      <c r="CP12" s="1449"/>
      <c r="CQ12" s="1450"/>
      <c r="CR12" s="1450"/>
      <c r="CS12" s="1449"/>
      <c r="CT12" s="1448" t="s">
        <v>476</v>
      </c>
      <c r="CU12" s="1449"/>
      <c r="CV12" s="1449"/>
      <c r="CW12" s="1449"/>
      <c r="CX12" s="1449"/>
      <c r="CY12" s="1449"/>
      <c r="CZ12" s="1449"/>
      <c r="DA12" s="1449"/>
      <c r="DB12" s="1449"/>
      <c r="DC12" s="1449"/>
      <c r="DD12" s="1449"/>
      <c r="DE12" s="1449"/>
      <c r="DF12" s="1449"/>
      <c r="DG12" s="1449"/>
      <c r="DH12" s="1449"/>
      <c r="DI12" s="1449"/>
      <c r="DJ12" s="1449"/>
      <c r="DK12" s="1449"/>
      <c r="DL12" s="1449"/>
      <c r="DM12" s="1449"/>
      <c r="DN12" s="1449"/>
      <c r="DO12" s="1449"/>
      <c r="DP12" s="1449"/>
      <c r="DQ12" s="1449"/>
      <c r="DR12" s="1450"/>
      <c r="DS12" s="1450"/>
      <c r="DT12" s="1451"/>
    </row>
    <row r="13" spans="1:150" ht="20.25" customHeight="1">
      <c r="A13" s="1464" t="s">
        <v>4</v>
      </c>
      <c r="B13" s="1465"/>
      <c r="C13" s="1465"/>
      <c r="D13" s="1465"/>
      <c r="E13" s="1465"/>
      <c r="F13" s="1465"/>
      <c r="G13" s="1465"/>
      <c r="H13" s="1466"/>
      <c r="I13" s="1467" t="s">
        <v>549</v>
      </c>
      <c r="J13" s="1468"/>
      <c r="K13" s="1468"/>
      <c r="L13" s="1468"/>
      <c r="M13" s="1468"/>
      <c r="N13" s="1468"/>
      <c r="O13" s="1468"/>
      <c r="P13" s="1469"/>
      <c r="Q13" s="1470" t="s">
        <v>247</v>
      </c>
      <c r="R13" s="1471"/>
      <c r="S13" s="1471"/>
      <c r="T13" s="1471"/>
      <c r="U13" s="1471"/>
      <c r="V13" s="1471"/>
      <c r="W13" s="1471"/>
      <c r="X13" s="1471"/>
      <c r="Y13" s="1376" t="s">
        <v>247</v>
      </c>
      <c r="Z13" s="1376"/>
      <c r="AA13" s="1376"/>
      <c r="AB13" s="1376"/>
      <c r="AC13" s="1376"/>
      <c r="AD13" s="1376"/>
      <c r="AE13" s="1376"/>
      <c r="AF13" s="1376"/>
      <c r="AG13" s="1468" t="s">
        <v>550</v>
      </c>
      <c r="AH13" s="1468"/>
      <c r="AI13" s="1468"/>
      <c r="AJ13" s="1468"/>
      <c r="AK13" s="1471"/>
      <c r="AL13" s="1471"/>
      <c r="AM13" s="1471"/>
      <c r="AN13" s="1472"/>
      <c r="AP13" s="819">
        <f>IF(I12="","",SUM(I15:P25)+(I12-AG12))</f>
        <v>0</v>
      </c>
      <c r="AQ13" s="690" t="str">
        <f>+$BS$36</f>
        <v xml:space="preserve"> BG_Gr1</v>
      </c>
      <c r="AR13" s="689" t="str">
        <f>+$BS$37</f>
        <v>BG_Gr2</v>
      </c>
      <c r="AS13" s="689" t="str">
        <f>+$BS$38</f>
        <v>SG_Gr1</v>
      </c>
      <c r="AT13" s="689" t="str">
        <f>+$BS$39</f>
        <v>SG_Gr2</v>
      </c>
      <c r="AU13" s="689" t="str">
        <f>+$BS$40</f>
        <v>SBG_Pea</v>
      </c>
      <c r="AV13" s="689" t="str">
        <f>+$BS$41</f>
        <v xml:space="preserve"> AG 1</v>
      </c>
      <c r="AW13" s="689" t="str">
        <f>+$BS$44</f>
        <v>AG 2</v>
      </c>
      <c r="AX13" s="689" t="str">
        <f>+$BS$45</f>
        <v>AG 3</v>
      </c>
      <c r="AY13" s="688" t="str">
        <f>+$BS$46</f>
        <v>AG 4</v>
      </c>
      <c r="AZ13" s="689" t="str">
        <f>+$BS$47</f>
        <v>GRAVA 1"</v>
      </c>
      <c r="BA13" s="689" t="str">
        <f>+$BS$48</f>
        <v>GRAVA 3/4"</v>
      </c>
      <c r="BB13" s="689" t="str">
        <f>+$BS$49</f>
        <v>GRAVA 1/2"</v>
      </c>
      <c r="BC13" s="689" t="str">
        <f>+$BS$50</f>
        <v>ARENA TRITURADA DE CANTERA</v>
      </c>
      <c r="BD13" s="689" t="str">
        <f>+$BS$51</f>
        <v>ARENA TRITURADA DE RIO</v>
      </c>
      <c r="BE13" s="689" t="str">
        <f>+$BS$52</f>
        <v>ARENA CONCRETO FINA</v>
      </c>
      <c r="BF13" s="689" t="str">
        <f>+$BS$53</f>
        <v>ARENA CONCRETO GRUESA</v>
      </c>
      <c r="BG13" s="688" t="str">
        <f>+$BS$54</f>
        <v xml:space="preserve">ARENA DE PEÑA </v>
      </c>
      <c r="BH13" s="675" t="str">
        <f>+$BS$55</f>
        <v>MD10</v>
      </c>
      <c r="BI13" s="675" t="str">
        <f>+$BS$56</f>
        <v>MD12</v>
      </c>
      <c r="BJ13" s="675" t="str">
        <f>+$BS$57</f>
        <v>MD 20</v>
      </c>
      <c r="BK13" s="675" t="str">
        <f>+$BS$58</f>
        <v>MGCR TIPO 1</v>
      </c>
      <c r="BL13" s="675" t="str">
        <f>+$BS$59</f>
        <v>MGCR TIPO 2</v>
      </c>
      <c r="BM13" s="675" t="str">
        <f>+$BS$60</f>
        <v>MGCR TIPO 3</v>
      </c>
      <c r="BN13" s="675" t="str">
        <f>+$BS$64</f>
        <v>RAP ESTABILIZADO</v>
      </c>
      <c r="BO13" s="800" t="str">
        <f>+$BS$61</f>
        <v>RAJÓN</v>
      </c>
      <c r="BP13" s="861" t="str">
        <f>+$BS$62</f>
        <v>MATERIAL FILTRANTE 3"</v>
      </c>
      <c r="BQ13" s="862" t="str">
        <f>+$BS$63</f>
        <v>MATERIAL FILTRANTE 1"</v>
      </c>
      <c r="BR13" s="657">
        <f>+AQ59</f>
        <v>0</v>
      </c>
      <c r="BS13" s="690" t="str">
        <f>+$BS$36</f>
        <v xml:space="preserve"> BG_Gr1</v>
      </c>
      <c r="BT13" s="689" t="str">
        <f>+$BS$37</f>
        <v>BG_Gr2</v>
      </c>
      <c r="BU13" s="689" t="str">
        <f>+$BS$38</f>
        <v>SG_Gr1</v>
      </c>
      <c r="BV13" s="689" t="str">
        <f>+$BS$39</f>
        <v>SG_Gr2</v>
      </c>
      <c r="BW13" s="689" t="str">
        <f>+$BS$40</f>
        <v>SBG_Pea</v>
      </c>
      <c r="BX13" s="689" t="str">
        <f>+$BS$41</f>
        <v xml:space="preserve"> AG 1</v>
      </c>
      <c r="BY13" s="689" t="str">
        <f>+$BS$44</f>
        <v>AG 2</v>
      </c>
      <c r="BZ13" s="689" t="str">
        <f>+$BS$45</f>
        <v>AG 3</v>
      </c>
      <c r="CA13" s="688" t="str">
        <f>+$BS$46</f>
        <v>AG 4</v>
      </c>
      <c r="CB13" s="689" t="str">
        <f>+$BS$47</f>
        <v>GRAVA 1"</v>
      </c>
      <c r="CC13" s="689" t="str">
        <f>+$BS$48</f>
        <v>GRAVA 3/4"</v>
      </c>
      <c r="CD13" s="689" t="str">
        <f>+$BS$49</f>
        <v>GRAVA 1/2"</v>
      </c>
      <c r="CE13" s="689" t="str">
        <f>+$BS$50</f>
        <v>ARENA TRITURADA DE CANTERA</v>
      </c>
      <c r="CF13" s="689" t="str">
        <f>+$BS$51</f>
        <v>ARENA TRITURADA DE RIO</v>
      </c>
      <c r="CG13" s="689" t="str">
        <f>+$BS$52</f>
        <v>ARENA CONCRETO FINA</v>
      </c>
      <c r="CH13" s="689" t="str">
        <f>+$BS$53</f>
        <v>ARENA CONCRETO GRUESA</v>
      </c>
      <c r="CI13" s="688" t="str">
        <f>+$BS$54</f>
        <v xml:space="preserve">ARENA DE PEÑA </v>
      </c>
      <c r="CJ13" s="675" t="str">
        <f>+$BS$55</f>
        <v>MD10</v>
      </c>
      <c r="CK13" s="675" t="str">
        <f>+$BS$56</f>
        <v>MD12</v>
      </c>
      <c r="CL13" s="675" t="str">
        <f>+$BS$57</f>
        <v>MD 20</v>
      </c>
      <c r="CM13" s="675" t="str">
        <f>+$BS$58</f>
        <v>MGCR TIPO 1</v>
      </c>
      <c r="CN13" s="675" t="str">
        <f>+$BS$59</f>
        <v>MGCR TIPO 2</v>
      </c>
      <c r="CO13" s="675" t="str">
        <f>+$BS$60</f>
        <v>MGCR TIPO 3</v>
      </c>
      <c r="CP13" s="675" t="str">
        <f>+$BS$64</f>
        <v>RAP ESTABILIZADO</v>
      </c>
      <c r="CQ13" s="800" t="str">
        <f>+$BS$61</f>
        <v>RAJÓN</v>
      </c>
      <c r="CR13" s="861" t="str">
        <f>+$BS$62</f>
        <v>MATERIAL FILTRANTE 3"</v>
      </c>
      <c r="CS13" s="862" t="str">
        <f>+$BS$63</f>
        <v>MATERIAL FILTRANTE 1"</v>
      </c>
      <c r="CT13" s="690" t="str">
        <f>+$BS$36</f>
        <v xml:space="preserve"> BG_Gr1</v>
      </c>
      <c r="CU13" s="689" t="str">
        <f>+$BS$37</f>
        <v>BG_Gr2</v>
      </c>
      <c r="CV13" s="689" t="str">
        <f>+$BS$38</f>
        <v>SG_Gr1</v>
      </c>
      <c r="CW13" s="689" t="str">
        <f>+$BS$39</f>
        <v>SG_Gr2</v>
      </c>
      <c r="CX13" s="689" t="str">
        <f>+$BS$40</f>
        <v>SBG_Pea</v>
      </c>
      <c r="CY13" s="689" t="str">
        <f>+$BS$41</f>
        <v xml:space="preserve"> AG 1</v>
      </c>
      <c r="CZ13" s="689" t="str">
        <f>+$BS$44</f>
        <v>AG 2</v>
      </c>
      <c r="DA13" s="689" t="str">
        <f>+$BS$45</f>
        <v>AG 3</v>
      </c>
      <c r="DB13" s="688" t="str">
        <f>+$BS$46</f>
        <v>AG 4</v>
      </c>
      <c r="DC13" s="689" t="str">
        <f>+$BS$47</f>
        <v>GRAVA 1"</v>
      </c>
      <c r="DD13" s="689" t="str">
        <f>+$BS$48</f>
        <v>GRAVA 3/4"</v>
      </c>
      <c r="DE13" s="689" t="str">
        <f>+$BS$49</f>
        <v>GRAVA 1/2"</v>
      </c>
      <c r="DF13" s="689" t="str">
        <f>+$BS$50</f>
        <v>ARENA TRITURADA DE CANTERA</v>
      </c>
      <c r="DG13" s="689" t="str">
        <f>+$BS$51</f>
        <v>ARENA TRITURADA DE RIO</v>
      </c>
      <c r="DH13" s="689" t="str">
        <f>+$BS$52</f>
        <v>ARENA CONCRETO FINA</v>
      </c>
      <c r="DI13" s="689" t="str">
        <f>+$BS$53</f>
        <v>ARENA CONCRETO GRUESA</v>
      </c>
      <c r="DJ13" s="688" t="str">
        <f>+$BS$54</f>
        <v xml:space="preserve">ARENA DE PEÑA </v>
      </c>
      <c r="DK13" s="675" t="str">
        <f>+$BS$55</f>
        <v>MD10</v>
      </c>
      <c r="DL13" s="675" t="str">
        <f>+$BS$56</f>
        <v>MD12</v>
      </c>
      <c r="DM13" s="675" t="str">
        <f>+$BS$57</f>
        <v>MD 20</v>
      </c>
      <c r="DN13" s="675" t="str">
        <f>+$BS$58</f>
        <v>MGCR TIPO 1</v>
      </c>
      <c r="DO13" s="675" t="str">
        <f>+$BS$59</f>
        <v>MGCR TIPO 2</v>
      </c>
      <c r="DP13" s="675" t="str">
        <f>+$BS$60</f>
        <v>MGCR TIPO 3</v>
      </c>
      <c r="DQ13" s="675" t="str">
        <f>+$BS$64</f>
        <v>RAP ESTABILIZADO</v>
      </c>
      <c r="DR13" s="800" t="str">
        <f>+$BS$61</f>
        <v>RAJÓN</v>
      </c>
      <c r="DS13" s="861" t="str">
        <f>+$BS$62</f>
        <v>MATERIAL FILTRANTE 3"</v>
      </c>
      <c r="DT13" s="862" t="str">
        <f>+$BS$63</f>
        <v>MATERIAL FILTRANTE 1"</v>
      </c>
      <c r="DW13" s="760">
        <v>1</v>
      </c>
      <c r="DX13" s="760">
        <v>2</v>
      </c>
      <c r="DY13" s="760">
        <v>3</v>
      </c>
      <c r="DZ13" s="760">
        <v>4</v>
      </c>
      <c r="EA13" s="760">
        <v>5</v>
      </c>
      <c r="EB13" s="760">
        <v>1</v>
      </c>
      <c r="EC13" s="760">
        <v>2</v>
      </c>
      <c r="ED13" s="760">
        <v>3</v>
      </c>
      <c r="EE13" s="760">
        <v>4</v>
      </c>
      <c r="EF13" s="760">
        <v>5</v>
      </c>
      <c r="EG13" s="760">
        <v>1</v>
      </c>
      <c r="EH13" s="760">
        <v>2</v>
      </c>
      <c r="EI13" s="760">
        <v>3</v>
      </c>
      <c r="EJ13" s="760">
        <v>4</v>
      </c>
      <c r="EK13" s="760">
        <v>5</v>
      </c>
      <c r="EL13" s="760">
        <v>6</v>
      </c>
      <c r="EM13" s="760">
        <v>7</v>
      </c>
      <c r="EN13" s="760">
        <v>1</v>
      </c>
      <c r="EO13" s="760">
        <v>2</v>
      </c>
      <c r="EP13" s="760">
        <v>3</v>
      </c>
      <c r="EQ13" s="760">
        <v>4</v>
      </c>
      <c r="ER13" s="760">
        <v>5</v>
      </c>
      <c r="ES13" s="760">
        <v>6</v>
      </c>
      <c r="ET13" s="760">
        <v>7</v>
      </c>
    </row>
    <row r="14" spans="1:150" ht="25.5" customHeight="1">
      <c r="A14" s="1452" t="s">
        <v>371</v>
      </c>
      <c r="B14" s="1453"/>
      <c r="C14" s="1453"/>
      <c r="D14" s="1454"/>
      <c r="E14" s="1455" t="s">
        <v>370</v>
      </c>
      <c r="F14" s="1456"/>
      <c r="G14" s="1456"/>
      <c r="H14" s="1457"/>
      <c r="I14" s="1467"/>
      <c r="J14" s="1468"/>
      <c r="K14" s="1468"/>
      <c r="L14" s="1468"/>
      <c r="M14" s="1468"/>
      <c r="N14" s="1468"/>
      <c r="O14" s="1468"/>
      <c r="P14" s="1469"/>
      <c r="Q14" s="1458" t="s">
        <v>551</v>
      </c>
      <c r="R14" s="1459"/>
      <c r="S14" s="1459"/>
      <c r="T14" s="1460"/>
      <c r="U14" s="1458" t="s">
        <v>552</v>
      </c>
      <c r="V14" s="1459"/>
      <c r="W14" s="1459"/>
      <c r="X14" s="1459"/>
      <c r="Y14" s="1461" t="s">
        <v>90</v>
      </c>
      <c r="Z14" s="1461"/>
      <c r="AA14" s="1461"/>
      <c r="AB14" s="1461"/>
      <c r="AC14" s="1461" t="s">
        <v>42</v>
      </c>
      <c r="AD14" s="1461"/>
      <c r="AE14" s="1461"/>
      <c r="AF14" s="1461"/>
      <c r="AG14" s="1365" t="s">
        <v>2</v>
      </c>
      <c r="AH14" s="1365"/>
      <c r="AI14" s="1365"/>
      <c r="AJ14" s="1366"/>
      <c r="AK14" s="1462" t="s">
        <v>1</v>
      </c>
      <c r="AL14" s="1462"/>
      <c r="AM14" s="1462"/>
      <c r="AN14" s="1463"/>
      <c r="AP14" s="265">
        <v>1</v>
      </c>
      <c r="AQ14" s="677">
        <v>37.5</v>
      </c>
      <c r="AR14" s="678">
        <v>25</v>
      </c>
      <c r="AS14" s="657">
        <v>50</v>
      </c>
      <c r="AT14" s="678">
        <v>37.5</v>
      </c>
      <c r="AU14" s="657">
        <v>50</v>
      </c>
      <c r="AV14" s="657">
        <v>57</v>
      </c>
      <c r="AW14" s="657">
        <v>50</v>
      </c>
      <c r="AX14" s="657">
        <v>37.5</v>
      </c>
      <c r="AY14" s="657">
        <v>25</v>
      </c>
      <c r="AZ14" s="657">
        <v>37.5</v>
      </c>
      <c r="BA14" s="657">
        <v>25</v>
      </c>
      <c r="BB14" s="657">
        <v>19</v>
      </c>
      <c r="BC14" s="657">
        <v>12.5</v>
      </c>
      <c r="BD14" s="657">
        <v>12.5</v>
      </c>
      <c r="BE14" s="657">
        <v>4.75</v>
      </c>
      <c r="BF14" s="657">
        <v>9.5</v>
      </c>
      <c r="BG14" s="679"/>
      <c r="BH14" s="657">
        <v>12.5</v>
      </c>
      <c r="BI14" s="657">
        <v>19</v>
      </c>
      <c r="BJ14" s="657">
        <v>25</v>
      </c>
      <c r="BK14" s="657">
        <v>25</v>
      </c>
      <c r="BL14" s="657">
        <v>25</v>
      </c>
      <c r="BM14" s="657">
        <v>19</v>
      </c>
      <c r="BN14" s="657">
        <v>37.5</v>
      </c>
      <c r="BO14" s="657">
        <v>300</v>
      </c>
      <c r="BP14" s="863">
        <v>76.2</v>
      </c>
      <c r="BQ14" s="864">
        <v>25</v>
      </c>
      <c r="BR14" s="266"/>
      <c r="BS14" s="692">
        <v>100</v>
      </c>
      <c r="BT14" s="675">
        <v>100</v>
      </c>
      <c r="BU14" s="675">
        <v>100</v>
      </c>
      <c r="BV14" s="675">
        <v>100</v>
      </c>
      <c r="BW14" s="675">
        <v>100</v>
      </c>
      <c r="BX14" s="675">
        <v>100</v>
      </c>
      <c r="BY14" s="675">
        <v>100</v>
      </c>
      <c r="BZ14" s="675">
        <v>100</v>
      </c>
      <c r="CA14" s="675">
        <v>100</v>
      </c>
      <c r="CB14" s="873">
        <v>100</v>
      </c>
      <c r="CC14" s="873">
        <v>100</v>
      </c>
      <c r="CD14" s="873">
        <v>100</v>
      </c>
      <c r="CE14" s="873">
        <v>100</v>
      </c>
      <c r="CF14" s="873">
        <v>100</v>
      </c>
      <c r="CG14" s="873">
        <v>100</v>
      </c>
      <c r="CH14" s="873">
        <v>100</v>
      </c>
      <c r="CI14" s="668"/>
      <c r="CJ14" s="675">
        <v>100</v>
      </c>
      <c r="CK14" s="675">
        <v>100</v>
      </c>
      <c r="CL14" s="675">
        <v>100</v>
      </c>
      <c r="CM14" s="675">
        <v>100</v>
      </c>
      <c r="CN14" s="675">
        <v>100</v>
      </c>
      <c r="CO14" s="675">
        <v>100</v>
      </c>
      <c r="CP14" s="675">
        <v>100</v>
      </c>
      <c r="CQ14" s="694" t="s">
        <v>423</v>
      </c>
      <c r="CR14" s="870" t="s">
        <v>423</v>
      </c>
      <c r="CS14" s="870" t="s">
        <v>423</v>
      </c>
      <c r="CT14" s="692">
        <v>100</v>
      </c>
      <c r="CU14" s="675">
        <v>100</v>
      </c>
      <c r="CV14" s="675">
        <v>100</v>
      </c>
      <c r="CW14" s="676">
        <v>100</v>
      </c>
      <c r="CX14" s="675">
        <v>100</v>
      </c>
      <c r="CY14" s="675">
        <v>100</v>
      </c>
      <c r="CZ14" s="675">
        <v>100</v>
      </c>
      <c r="DA14" s="675">
        <v>100</v>
      </c>
      <c r="DB14" s="675">
        <v>100</v>
      </c>
      <c r="DC14" s="873">
        <v>100</v>
      </c>
      <c r="DD14" s="873">
        <v>100</v>
      </c>
      <c r="DE14" s="873">
        <v>100</v>
      </c>
      <c r="DF14" s="873">
        <v>100</v>
      </c>
      <c r="DG14" s="873">
        <v>100</v>
      </c>
      <c r="DH14" s="873">
        <v>100</v>
      </c>
      <c r="DI14" s="873">
        <v>100</v>
      </c>
      <c r="DJ14" s="675"/>
      <c r="DK14" s="675">
        <v>100</v>
      </c>
      <c r="DL14" s="675">
        <v>100</v>
      </c>
      <c r="DM14" s="675">
        <v>100</v>
      </c>
      <c r="DN14" s="675">
        <v>100</v>
      </c>
      <c r="DO14" s="675">
        <v>100</v>
      </c>
      <c r="DP14" s="675">
        <v>100</v>
      </c>
      <c r="DQ14" s="675">
        <v>100</v>
      </c>
      <c r="DR14" s="675">
        <v>100</v>
      </c>
      <c r="DS14" s="869">
        <v>100</v>
      </c>
      <c r="DT14" s="862">
        <v>100</v>
      </c>
      <c r="DW14" s="801" t="e">
        <f t="shared" ref="DW14:DW24" si="0">ABS(MID(Q15,SEARCH(",",Q15,1),2))</f>
        <v>#VALUE!</v>
      </c>
      <c r="DX14" s="801" t="e">
        <f t="shared" ref="DX14:DX24" si="1">ABS(MID(Q15,SEARCH(",",Q15,1),3))</f>
        <v>#VALUE!</v>
      </c>
      <c r="DY14" s="802" t="e">
        <f t="shared" ref="DY14:DY24" si="2">TRUNC(Q15,0)</f>
        <v>#VALUE!</v>
      </c>
      <c r="DZ14" s="801" t="e">
        <f>ABS(DX14-DW14)</f>
        <v>#VALUE!</v>
      </c>
      <c r="EA14" s="801" t="e">
        <f>IF(DZ14&gt;0,DY14+1,IF(AND(DZ14=0,ISODD(DW14*10)),DY14+1,DY14))</f>
        <v>#VALUE!</v>
      </c>
      <c r="EB14" s="801" t="e">
        <f t="shared" ref="EB14:EB24" si="3">ABS(MID(U15,SEARCH(",",U15,1),2))</f>
        <v>#VALUE!</v>
      </c>
      <c r="EC14" s="760" t="e">
        <f t="shared" ref="EC14:EC24" si="4">ABS(MID(U15,SEARCH(",",U15,1),3))</f>
        <v>#VALUE!</v>
      </c>
      <c r="ED14" s="803" t="e">
        <f t="shared" ref="ED14:ED24" si="5">TRUNC(U15,0)</f>
        <v>#VALUE!</v>
      </c>
      <c r="EE14" s="801" t="e">
        <f>ABS(EC14-EB14)</f>
        <v>#VALUE!</v>
      </c>
      <c r="EF14" s="801" t="e">
        <f>IF(EE14&gt;0,ED14+1,IF(AND(EE14=0,ISODD(EB14*10)),ED14+1,ED14))</f>
        <v>#VALUE!</v>
      </c>
    </row>
    <row r="15" spans="1:150" ht="15" customHeight="1">
      <c r="A15" s="1438" t="str">
        <f t="shared" ref="A15:A24" si="6">IF($AE$11="","",HLOOKUP($AE$11,$AQ$13:$BQ$32,AP15,0))</f>
        <v/>
      </c>
      <c r="B15" s="1439"/>
      <c r="C15" s="1439"/>
      <c r="D15" s="1439"/>
      <c r="E15" s="1426" t="str">
        <f t="shared" ref="E15:E24" si="7">IF(OR(A15="",A15=0),"",VLOOKUP(A15,$A$55:$H$75,5,0))</f>
        <v/>
      </c>
      <c r="F15" s="1426"/>
      <c r="G15" s="1426"/>
      <c r="H15" s="1427"/>
      <c r="I15" s="1440" t="str">
        <f t="shared" ref="I15:I25" si="8">+IF(OR(A15=0,A15=""),"",VLOOKUP(A15,$A$55:$AI$76,33,0))</f>
        <v/>
      </c>
      <c r="J15" s="1441"/>
      <c r="K15" s="1441"/>
      <c r="L15" s="1441"/>
      <c r="M15" s="1441"/>
      <c r="N15" s="1441"/>
      <c r="O15" s="1441"/>
      <c r="P15" s="1442"/>
      <c r="Q15" s="1443" t="str">
        <f t="shared" ref="Q15:Q25" si="9">IF($I$12="","",IF(I15="","",(I15/$I$12)*100))</f>
        <v/>
      </c>
      <c r="R15" s="1443"/>
      <c r="S15" s="1443"/>
      <c r="T15" s="1443"/>
      <c r="U15" s="1432" t="str">
        <f>IF($I$12="","",IF(OR(Q15=0,Q15=""),"",(100-Q15)))</f>
        <v/>
      </c>
      <c r="V15" s="1433"/>
      <c r="W15" s="1433"/>
      <c r="X15" s="1433"/>
      <c r="Y15" s="1432" t="str">
        <f>IF(OR(Q15=0,Q15=""),"",IF(DW14&lt;0.5,DY14,IF(DW14&gt;0.5,DY14+1,EA14)))</f>
        <v/>
      </c>
      <c r="Z15" s="1433"/>
      <c r="AA15" s="1433"/>
      <c r="AB15" s="1433"/>
      <c r="AC15" s="1432" t="str">
        <f>IF(OR(Q15=0,Q15=""),"",IF(EB14&lt;0.5,ED14,IF(EB14&gt;0.5,ED14+1,EF14)))</f>
        <v/>
      </c>
      <c r="AD15" s="1433"/>
      <c r="AE15" s="1433"/>
      <c r="AF15" s="1434"/>
      <c r="AG15" s="1435" t="str">
        <f t="shared" ref="AG15:AG25" si="10">IF($AE$11="","",HLOOKUP($AE$11,$BS$13:$CS$32,AP15,0))</f>
        <v/>
      </c>
      <c r="AH15" s="1435"/>
      <c r="AI15" s="1435"/>
      <c r="AJ15" s="1435"/>
      <c r="AK15" s="1436" t="str">
        <f t="shared" ref="AK15:AK25" si="11">IF($AE$11="","",HLOOKUP($AE$11,$CT$13:$DT$32,AP15,0))</f>
        <v/>
      </c>
      <c r="AL15" s="1435"/>
      <c r="AM15" s="1435"/>
      <c r="AN15" s="1437"/>
      <c r="AP15" s="265">
        <v>2</v>
      </c>
      <c r="AQ15" s="677">
        <v>25</v>
      </c>
      <c r="AR15" s="678">
        <v>19</v>
      </c>
      <c r="AS15" s="678">
        <v>37.5</v>
      </c>
      <c r="AT15" s="678">
        <v>25</v>
      </c>
      <c r="AU15" s="678">
        <v>37.5</v>
      </c>
      <c r="AV15" s="657">
        <v>50</v>
      </c>
      <c r="AW15" s="657">
        <v>37.5</v>
      </c>
      <c r="AX15" s="657">
        <v>25</v>
      </c>
      <c r="AY15" s="657">
        <v>19</v>
      </c>
      <c r="AZ15" s="657">
        <v>25</v>
      </c>
      <c r="BA15" s="657">
        <v>19</v>
      </c>
      <c r="BB15" s="657">
        <v>12.5</v>
      </c>
      <c r="BC15" s="657">
        <v>9.5</v>
      </c>
      <c r="BD15" s="657">
        <v>9.5</v>
      </c>
      <c r="BE15" s="657">
        <v>2.36</v>
      </c>
      <c r="BF15" s="657">
        <v>4.75</v>
      </c>
      <c r="BG15" s="679"/>
      <c r="BH15" s="657">
        <v>9.5</v>
      </c>
      <c r="BI15" s="657">
        <v>12.5</v>
      </c>
      <c r="BJ15" s="657">
        <v>19</v>
      </c>
      <c r="BK15" s="657">
        <v>19</v>
      </c>
      <c r="BL15" s="657">
        <v>19</v>
      </c>
      <c r="BM15" s="657">
        <v>12.5</v>
      </c>
      <c r="BN15" s="657">
        <v>25</v>
      </c>
      <c r="BO15" s="657">
        <v>25</v>
      </c>
      <c r="BP15" s="865">
        <v>64</v>
      </c>
      <c r="BQ15" s="866">
        <v>19</v>
      </c>
      <c r="BR15" s="266"/>
      <c r="BS15" s="692">
        <v>75</v>
      </c>
      <c r="BT15" s="675">
        <v>75</v>
      </c>
      <c r="BU15" s="675">
        <v>80</v>
      </c>
      <c r="BV15" s="675">
        <v>75</v>
      </c>
      <c r="BW15" s="675">
        <v>75</v>
      </c>
      <c r="BX15" s="675">
        <v>95</v>
      </c>
      <c r="BY15" s="675">
        <v>95</v>
      </c>
      <c r="BZ15" s="675">
        <v>95</v>
      </c>
      <c r="CA15" s="675">
        <v>95</v>
      </c>
      <c r="CB15" s="873">
        <v>93</v>
      </c>
      <c r="CC15" s="873">
        <v>95</v>
      </c>
      <c r="CD15" s="873">
        <v>95</v>
      </c>
      <c r="CE15" s="873">
        <v>97</v>
      </c>
      <c r="CF15" s="873">
        <v>97</v>
      </c>
      <c r="CG15" s="873">
        <v>90</v>
      </c>
      <c r="CH15" s="873">
        <v>85</v>
      </c>
      <c r="CI15" s="668"/>
      <c r="CJ15" s="675">
        <v>80</v>
      </c>
      <c r="CK15" s="686">
        <v>80</v>
      </c>
      <c r="CL15" s="675">
        <v>80</v>
      </c>
      <c r="CM15" s="675">
        <v>95</v>
      </c>
      <c r="CN15" s="675">
        <v>95</v>
      </c>
      <c r="CO15" s="675">
        <v>90</v>
      </c>
      <c r="CP15" s="675">
        <v>75</v>
      </c>
      <c r="CQ15" s="694" t="s">
        <v>423</v>
      </c>
      <c r="CR15" s="870" t="s">
        <v>423</v>
      </c>
      <c r="CS15" s="870" t="s">
        <v>423</v>
      </c>
      <c r="CT15" s="692">
        <v>95</v>
      </c>
      <c r="CU15" s="675">
        <v>95</v>
      </c>
      <c r="CV15" s="675">
        <v>95</v>
      </c>
      <c r="CW15" s="675">
        <v>95</v>
      </c>
      <c r="CX15" s="675">
        <v>98</v>
      </c>
      <c r="CY15" s="676">
        <v>100</v>
      </c>
      <c r="CZ15" s="675">
        <v>100</v>
      </c>
      <c r="DA15" s="675">
        <v>100</v>
      </c>
      <c r="DB15" s="675">
        <v>100</v>
      </c>
      <c r="DC15" s="873">
        <v>100</v>
      </c>
      <c r="DD15" s="873">
        <v>100</v>
      </c>
      <c r="DE15" s="873">
        <v>100</v>
      </c>
      <c r="DF15" s="873">
        <v>100</v>
      </c>
      <c r="DG15" s="873">
        <v>100</v>
      </c>
      <c r="DH15" s="873">
        <v>100</v>
      </c>
      <c r="DI15" s="873">
        <v>100</v>
      </c>
      <c r="DJ15" s="675"/>
      <c r="DK15" s="675">
        <v>95</v>
      </c>
      <c r="DL15" s="675">
        <v>95</v>
      </c>
      <c r="DM15" s="675">
        <v>95</v>
      </c>
      <c r="DN15" s="675">
        <v>100</v>
      </c>
      <c r="DO15" s="675">
        <v>100</v>
      </c>
      <c r="DP15" s="675">
        <v>100</v>
      </c>
      <c r="DQ15" s="675">
        <v>100</v>
      </c>
      <c r="DR15" s="675">
        <v>30</v>
      </c>
      <c r="DS15" s="869">
        <v>100</v>
      </c>
      <c r="DT15" s="862">
        <v>100</v>
      </c>
      <c r="DW15" s="801" t="e">
        <f t="shared" si="0"/>
        <v>#VALUE!</v>
      </c>
      <c r="DX15" s="801" t="e">
        <f t="shared" si="1"/>
        <v>#VALUE!</v>
      </c>
      <c r="DY15" s="802" t="e">
        <f t="shared" si="2"/>
        <v>#VALUE!</v>
      </c>
      <c r="DZ15" s="801" t="e">
        <f t="shared" ref="DZ15:DZ24" si="12">ABS(DX15-DW15)</f>
        <v>#VALUE!</v>
      </c>
      <c r="EA15" s="801" t="e">
        <f t="shared" ref="EA15:EA24" si="13">IF(DZ15&gt;0,DY15+1,IF(AND(DZ15=0,ISODD(DW15*10)),DY15+1,DY15))</f>
        <v>#VALUE!</v>
      </c>
      <c r="EB15" s="801" t="e">
        <f t="shared" si="3"/>
        <v>#VALUE!</v>
      </c>
      <c r="EC15" s="760" t="e">
        <f t="shared" si="4"/>
        <v>#VALUE!</v>
      </c>
      <c r="ED15" s="803" t="e">
        <f t="shared" si="5"/>
        <v>#VALUE!</v>
      </c>
      <c r="EE15" s="801" t="e">
        <f t="shared" ref="EE15:EE24" si="14">ABS(EC15-EB15)</f>
        <v>#VALUE!</v>
      </c>
      <c r="EF15" s="801" t="e">
        <f t="shared" ref="EF15:EF24" si="15">IF(EE15&gt;0,ED15+1,IF(AND(EE15=0,ISODD(EB15*10)),ED15+1,ED15))</f>
        <v>#VALUE!</v>
      </c>
    </row>
    <row r="16" spans="1:150" ht="15" customHeight="1">
      <c r="A16" s="1424" t="str">
        <f t="shared" si="6"/>
        <v/>
      </c>
      <c r="B16" s="1425"/>
      <c r="C16" s="1425"/>
      <c r="D16" s="1425"/>
      <c r="E16" s="1426" t="str">
        <f t="shared" si="7"/>
        <v/>
      </c>
      <c r="F16" s="1426"/>
      <c r="G16" s="1426"/>
      <c r="H16" s="1427"/>
      <c r="I16" s="1428" t="str">
        <f t="shared" si="8"/>
        <v/>
      </c>
      <c r="J16" s="1429"/>
      <c r="K16" s="1429"/>
      <c r="L16" s="1429"/>
      <c r="M16" s="1429"/>
      <c r="N16" s="1429"/>
      <c r="O16" s="1429"/>
      <c r="P16" s="1430"/>
      <c r="Q16" s="1431" t="str">
        <f t="shared" si="9"/>
        <v/>
      </c>
      <c r="R16" s="1431"/>
      <c r="S16" s="1431"/>
      <c r="T16" s="1431"/>
      <c r="U16" s="1421" t="str">
        <f t="shared" ref="U16:U24" si="16">IF($I$12="","",IF(OR(Q16=0,Q16=""),"",(U15-Q16)))</f>
        <v/>
      </c>
      <c r="V16" s="1422"/>
      <c r="W16" s="1422"/>
      <c r="X16" s="1423"/>
      <c r="Y16" s="1421" t="str">
        <f>IF(OR(Q16=0,Q16=""),"",IF(DW15&lt;0.5,DY15,IF(DW15&gt;0.5,DY15+1,EA15)))</f>
        <v/>
      </c>
      <c r="Z16" s="1422"/>
      <c r="AA16" s="1422"/>
      <c r="AB16" s="1422"/>
      <c r="AC16" s="1421" t="str">
        <f>IF(OR(Q16=0,Q16=""),"",IF(EB15&lt;0.5,ED15,IF(EB15&gt;0.5,ED15+1,EF15)))</f>
        <v/>
      </c>
      <c r="AD16" s="1422"/>
      <c r="AE16" s="1422"/>
      <c r="AF16" s="1423"/>
      <c r="AG16" s="1407" t="str">
        <f t="shared" si="10"/>
        <v/>
      </c>
      <c r="AH16" s="1407"/>
      <c r="AI16" s="1407"/>
      <c r="AJ16" s="1407"/>
      <c r="AK16" s="1409" t="str">
        <f t="shared" si="11"/>
        <v/>
      </c>
      <c r="AL16" s="1407"/>
      <c r="AM16" s="1407"/>
      <c r="AN16" s="1408"/>
      <c r="AP16" s="265">
        <v>3</v>
      </c>
      <c r="AQ16" s="677">
        <v>19</v>
      </c>
      <c r="AR16" s="657">
        <v>9.5</v>
      </c>
      <c r="AS16" s="678">
        <v>25</v>
      </c>
      <c r="AT16" s="678">
        <v>19</v>
      </c>
      <c r="AU16" s="678">
        <v>25</v>
      </c>
      <c r="AV16" s="657">
        <v>25</v>
      </c>
      <c r="AW16" s="657">
        <v>19</v>
      </c>
      <c r="AX16" s="657">
        <v>12.5</v>
      </c>
      <c r="AY16" s="657">
        <v>9.5</v>
      </c>
      <c r="AZ16" s="657">
        <v>19</v>
      </c>
      <c r="BA16" s="657">
        <v>12.5</v>
      </c>
      <c r="BB16" s="657">
        <v>9.5</v>
      </c>
      <c r="BC16" s="657">
        <v>4.75</v>
      </c>
      <c r="BD16" s="657">
        <v>4.75</v>
      </c>
      <c r="BE16" s="657">
        <v>1.18</v>
      </c>
      <c r="BF16" s="657">
        <v>2.36</v>
      </c>
      <c r="BG16" s="679"/>
      <c r="BH16" s="657">
        <v>4.75</v>
      </c>
      <c r="BI16" s="657">
        <v>9.5</v>
      </c>
      <c r="BJ16" s="657">
        <v>12.5</v>
      </c>
      <c r="BK16" s="657">
        <v>12.5</v>
      </c>
      <c r="BL16" s="657">
        <v>12.5</v>
      </c>
      <c r="BM16" s="657">
        <v>9.5</v>
      </c>
      <c r="BN16" s="657">
        <v>19</v>
      </c>
      <c r="BO16" s="657">
        <v>7.4999999999999997E-2</v>
      </c>
      <c r="BP16" s="865">
        <v>50</v>
      </c>
      <c r="BQ16" s="866">
        <v>12.5</v>
      </c>
      <c r="BR16" s="266"/>
      <c r="BS16" s="692">
        <v>60</v>
      </c>
      <c r="BT16" s="675">
        <v>50</v>
      </c>
      <c r="BU16" s="675">
        <v>60</v>
      </c>
      <c r="BV16" s="675">
        <v>62</v>
      </c>
      <c r="BW16" s="675">
        <v>60</v>
      </c>
      <c r="BX16" s="675">
        <v>35</v>
      </c>
      <c r="BY16" s="675">
        <v>30</v>
      </c>
      <c r="BZ16" s="675">
        <v>20</v>
      </c>
      <c r="CA16" s="675">
        <v>20</v>
      </c>
      <c r="CB16" s="873">
        <v>75</v>
      </c>
      <c r="CC16" s="873">
        <v>20</v>
      </c>
      <c r="CD16" s="873">
        <v>50</v>
      </c>
      <c r="CE16" s="873">
        <v>73</v>
      </c>
      <c r="CF16" s="873">
        <v>80</v>
      </c>
      <c r="CG16" s="873">
        <v>85</v>
      </c>
      <c r="CH16" s="873">
        <v>60</v>
      </c>
      <c r="CI16" s="668"/>
      <c r="CJ16" s="675">
        <v>59</v>
      </c>
      <c r="CK16" s="675">
        <v>71</v>
      </c>
      <c r="CL16" s="686">
        <v>66</v>
      </c>
      <c r="CM16" s="675">
        <v>87</v>
      </c>
      <c r="CN16" s="675">
        <v>83</v>
      </c>
      <c r="CO16" s="675">
        <v>83</v>
      </c>
      <c r="CP16" s="675">
        <v>65</v>
      </c>
      <c r="CQ16" s="694" t="s">
        <v>423</v>
      </c>
      <c r="CR16" s="871" t="s">
        <v>423</v>
      </c>
      <c r="CS16" s="870" t="s">
        <v>423</v>
      </c>
      <c r="CT16" s="692">
        <v>90</v>
      </c>
      <c r="CU16" s="675">
        <v>80</v>
      </c>
      <c r="CV16" s="675">
        <v>90</v>
      </c>
      <c r="CW16" s="675">
        <v>88</v>
      </c>
      <c r="CX16" s="675">
        <v>90</v>
      </c>
      <c r="CY16" s="675">
        <v>70</v>
      </c>
      <c r="CZ16" s="675">
        <v>70</v>
      </c>
      <c r="DA16" s="675">
        <v>60</v>
      </c>
      <c r="DB16" s="675">
        <v>55</v>
      </c>
      <c r="DC16" s="873">
        <v>83</v>
      </c>
      <c r="DD16" s="873">
        <v>40</v>
      </c>
      <c r="DE16" s="873">
        <v>70</v>
      </c>
      <c r="DF16" s="873">
        <v>81</v>
      </c>
      <c r="DG16" s="873">
        <v>93</v>
      </c>
      <c r="DH16" s="873">
        <v>90</v>
      </c>
      <c r="DI16" s="873">
        <v>80</v>
      </c>
      <c r="DJ16" s="675"/>
      <c r="DK16" s="675">
        <v>76</v>
      </c>
      <c r="DL16" s="675">
        <v>87</v>
      </c>
      <c r="DM16" s="675">
        <v>82</v>
      </c>
      <c r="DN16" s="675">
        <v>97</v>
      </c>
      <c r="DO16" s="675">
        <v>87</v>
      </c>
      <c r="DP16" s="675">
        <v>87</v>
      </c>
      <c r="DQ16" s="675">
        <v>100</v>
      </c>
      <c r="DR16" s="675">
        <v>15</v>
      </c>
      <c r="DS16" s="869">
        <v>100</v>
      </c>
      <c r="DT16" s="862">
        <v>100</v>
      </c>
      <c r="DW16" s="801" t="e">
        <f t="shared" si="0"/>
        <v>#VALUE!</v>
      </c>
      <c r="DX16" s="801" t="e">
        <f t="shared" si="1"/>
        <v>#VALUE!</v>
      </c>
      <c r="DY16" s="802" t="e">
        <f t="shared" si="2"/>
        <v>#VALUE!</v>
      </c>
      <c r="DZ16" s="801" t="e">
        <f t="shared" si="12"/>
        <v>#VALUE!</v>
      </c>
      <c r="EA16" s="801" t="e">
        <f t="shared" si="13"/>
        <v>#VALUE!</v>
      </c>
      <c r="EB16" s="801" t="e">
        <f t="shared" si="3"/>
        <v>#VALUE!</v>
      </c>
      <c r="EC16" s="760" t="e">
        <f t="shared" si="4"/>
        <v>#VALUE!</v>
      </c>
      <c r="ED16" s="803" t="e">
        <f t="shared" si="5"/>
        <v>#VALUE!</v>
      </c>
      <c r="EE16" s="801" t="e">
        <f t="shared" si="14"/>
        <v>#VALUE!</v>
      </c>
      <c r="EF16" s="801" t="e">
        <f t="shared" si="15"/>
        <v>#VALUE!</v>
      </c>
      <c r="EG16" s="760" t="e">
        <f>ABS(MID(Q17,SEARCH(",",Q17,1),2))</f>
        <v>#VALUE!</v>
      </c>
      <c r="EH16" s="760" t="e">
        <f>ABS(MID(Q17,SEARCH(",",Q17,1),3))</f>
        <v>#VALUE!</v>
      </c>
      <c r="EI16" s="803" t="e">
        <f>TRUNC(Q17,0)</f>
        <v>#VALUE!</v>
      </c>
      <c r="EJ16" s="760" t="e">
        <f>ABS(MID(Q17,SEARCH(",",Q17,1),4))</f>
        <v>#VALUE!</v>
      </c>
      <c r="EK16" s="760" t="e">
        <f>ABS(EG16-EH16)</f>
        <v>#VALUE!</v>
      </c>
      <c r="EL16" s="760" t="e">
        <f>ABS(EJ16-EH16)</f>
        <v>#VALUE!</v>
      </c>
      <c r="EM16" s="760" t="e">
        <f>IF(EL16&gt;0,EI16+EG16+0.1,IF(AND(EL16=0,ISODD(EH16*10)),EI16+EG16+0.1,EI16+EG16))</f>
        <v>#VALUE!</v>
      </c>
      <c r="EN16" s="760" t="e">
        <f>ABS(MID(U17,SEARCH(",",U17,1),2))</f>
        <v>#VALUE!</v>
      </c>
      <c r="EO16" s="760" t="e">
        <f>ABS(MID(U17,SEARCH(",",U17,1),3))</f>
        <v>#VALUE!</v>
      </c>
      <c r="EP16" s="803" t="e">
        <f>TRUNC(U17,0)</f>
        <v>#VALUE!</v>
      </c>
      <c r="EQ16" s="760" t="e">
        <f>ABS(MID(U17,SEARCH(",",U17,1),4))</f>
        <v>#VALUE!</v>
      </c>
      <c r="ER16" s="760" t="e">
        <f>ABS(EN16-EO16)</f>
        <v>#VALUE!</v>
      </c>
      <c r="ES16" s="760" t="e">
        <f>ABS(EQ16-EO16)</f>
        <v>#VALUE!</v>
      </c>
      <c r="ET16" s="760" t="e">
        <f>IF(ES16&gt;0,EP16+EN16+0.1,IF(AND(ES16=0,ISODD(EO16*10)),EP16+EN16+0.1,EP16+EN16))</f>
        <v>#VALUE!</v>
      </c>
    </row>
    <row r="17" spans="1:150" ht="15" customHeight="1">
      <c r="A17" s="1424" t="str">
        <f t="shared" si="6"/>
        <v/>
      </c>
      <c r="B17" s="1425"/>
      <c r="C17" s="1425"/>
      <c r="D17" s="1425"/>
      <c r="E17" s="1426" t="str">
        <f t="shared" si="7"/>
        <v/>
      </c>
      <c r="F17" s="1426"/>
      <c r="G17" s="1426"/>
      <c r="H17" s="1427"/>
      <c r="I17" s="1428" t="str">
        <f t="shared" si="8"/>
        <v/>
      </c>
      <c r="J17" s="1429"/>
      <c r="K17" s="1429"/>
      <c r="L17" s="1429"/>
      <c r="M17" s="1429"/>
      <c r="N17" s="1429"/>
      <c r="O17" s="1429"/>
      <c r="P17" s="1430"/>
      <c r="Q17" s="1431" t="str">
        <f t="shared" si="9"/>
        <v/>
      </c>
      <c r="R17" s="1431"/>
      <c r="S17" s="1431"/>
      <c r="T17" s="1431"/>
      <c r="U17" s="1421" t="str">
        <f t="shared" si="16"/>
        <v/>
      </c>
      <c r="V17" s="1422"/>
      <c r="W17" s="1422"/>
      <c r="X17" s="1423"/>
      <c r="Y17" s="1421" t="str">
        <f t="shared" ref="Y17:Y25" si="17">IF(OR(Q17=0,Q17=""),"",IF(AND(E17="N° 200",EK16&lt;0.05),EI16+EG16,IF(AND(E17="N° 200",EK16&gt;0.05),EI16+EG16+0.1,IF(AND(E17="N° 200",EK16=0),EL16,IF(DW16&lt;0.5,DY16,IF(DW16&gt;0.5,DY16+1,EA16))))))</f>
        <v/>
      </c>
      <c r="Z17" s="1422"/>
      <c r="AA17" s="1422"/>
      <c r="AB17" s="1422"/>
      <c r="AC17" s="1421" t="str">
        <f t="shared" ref="AC17:AC24" si="18">IF(OR(Q17=0,Q17=""),"",IF(AND(E17="N° 200",ER16&lt;0.05),EP16+EN16,IF(AND(E17="N° 200",ER16&gt;0.05),EP16+EN16+0.1,IF(AND(E17="N° 200",ER16=0),ES16,IF(EB16&lt;0.5,ED16,IF(EB16&gt;0.5,ED16+1,EF16))))))</f>
        <v/>
      </c>
      <c r="AD17" s="1422"/>
      <c r="AE17" s="1422"/>
      <c r="AF17" s="1423"/>
      <c r="AG17" s="1407" t="str">
        <f t="shared" si="10"/>
        <v/>
      </c>
      <c r="AH17" s="1407"/>
      <c r="AI17" s="1407"/>
      <c r="AJ17" s="1407"/>
      <c r="AK17" s="1409" t="str">
        <f t="shared" si="11"/>
        <v/>
      </c>
      <c r="AL17" s="1407"/>
      <c r="AM17" s="1407"/>
      <c r="AN17" s="1408"/>
      <c r="AO17" s="827"/>
      <c r="AP17" s="265">
        <v>4</v>
      </c>
      <c r="AQ17" s="656">
        <v>9.5</v>
      </c>
      <c r="AR17" s="657">
        <v>4.75</v>
      </c>
      <c r="AS17" s="657">
        <v>9.5</v>
      </c>
      <c r="AT17" s="657">
        <v>9.5</v>
      </c>
      <c r="AU17" s="657">
        <v>9.5</v>
      </c>
      <c r="AV17" s="657">
        <v>12.5</v>
      </c>
      <c r="AW17" s="657">
        <v>9.5</v>
      </c>
      <c r="AX17" s="657">
        <v>4.75</v>
      </c>
      <c r="AY17" s="657">
        <v>4.75</v>
      </c>
      <c r="AZ17" s="657">
        <v>12.5</v>
      </c>
      <c r="BA17" s="657">
        <v>9.5</v>
      </c>
      <c r="BB17" s="657">
        <v>4.75</v>
      </c>
      <c r="BC17" s="657">
        <v>2</v>
      </c>
      <c r="BD17" s="657">
        <v>2</v>
      </c>
      <c r="BE17" s="657">
        <v>0.6</v>
      </c>
      <c r="BF17" s="657">
        <v>1.18</v>
      </c>
      <c r="BG17" s="679"/>
      <c r="BH17" s="657">
        <v>2</v>
      </c>
      <c r="BI17" s="657">
        <v>4.75</v>
      </c>
      <c r="BJ17" s="657">
        <v>9.5</v>
      </c>
      <c r="BK17" s="657">
        <v>9.5</v>
      </c>
      <c r="BL17" s="657">
        <v>9.5</v>
      </c>
      <c r="BM17" s="657">
        <v>4.75</v>
      </c>
      <c r="BN17" s="657">
        <v>9.5</v>
      </c>
      <c r="BO17" s="657"/>
      <c r="BP17" s="867">
        <v>25</v>
      </c>
      <c r="BQ17" s="868"/>
      <c r="BR17" s="266"/>
      <c r="BS17" s="692">
        <v>40</v>
      </c>
      <c r="BT17" s="675">
        <v>35</v>
      </c>
      <c r="BU17" s="675">
        <v>36</v>
      </c>
      <c r="BV17" s="675">
        <v>42</v>
      </c>
      <c r="BW17" s="675">
        <v>36</v>
      </c>
      <c r="BX17" s="675">
        <v>10</v>
      </c>
      <c r="BY17" s="675">
        <v>10</v>
      </c>
      <c r="BZ17" s="693" t="s">
        <v>423</v>
      </c>
      <c r="CA17" s="693" t="s">
        <v>423</v>
      </c>
      <c r="CB17" s="873">
        <v>32</v>
      </c>
      <c r="CC17" s="870" t="s">
        <v>423</v>
      </c>
      <c r="CD17" s="870" t="s">
        <v>423</v>
      </c>
      <c r="CE17" s="873">
        <v>53</v>
      </c>
      <c r="CF17" s="873">
        <v>52</v>
      </c>
      <c r="CG17" s="873">
        <v>75</v>
      </c>
      <c r="CH17" s="873">
        <v>45</v>
      </c>
      <c r="CI17" s="668"/>
      <c r="CJ17" s="675">
        <v>36</v>
      </c>
      <c r="CK17" s="675">
        <v>49</v>
      </c>
      <c r="CL17" s="675">
        <v>59</v>
      </c>
      <c r="CM17" s="675">
        <v>70</v>
      </c>
      <c r="CN17" s="675">
        <v>65</v>
      </c>
      <c r="CO17" s="675">
        <v>28</v>
      </c>
      <c r="CP17" s="675">
        <v>45</v>
      </c>
      <c r="CQ17" s="675"/>
      <c r="CR17" s="870" t="s">
        <v>423</v>
      </c>
      <c r="CS17" s="870"/>
      <c r="CT17" s="692">
        <v>70</v>
      </c>
      <c r="CU17" s="675">
        <v>60</v>
      </c>
      <c r="CV17" s="675">
        <v>68</v>
      </c>
      <c r="CW17" s="675">
        <v>78</v>
      </c>
      <c r="CX17" s="675">
        <v>66</v>
      </c>
      <c r="CY17" s="675">
        <v>30</v>
      </c>
      <c r="CZ17" s="675">
        <v>30</v>
      </c>
      <c r="DA17" s="675">
        <v>5</v>
      </c>
      <c r="DB17" s="675">
        <v>5</v>
      </c>
      <c r="DC17" s="873">
        <v>40</v>
      </c>
      <c r="DD17" s="873">
        <v>10</v>
      </c>
      <c r="DE17" s="873">
        <v>10</v>
      </c>
      <c r="DF17" s="873">
        <v>59</v>
      </c>
      <c r="DG17" s="873">
        <v>63</v>
      </c>
      <c r="DH17" s="873">
        <v>85</v>
      </c>
      <c r="DI17" s="873">
        <v>65</v>
      </c>
      <c r="DJ17" s="675"/>
      <c r="DK17" s="675">
        <v>51</v>
      </c>
      <c r="DL17" s="675">
        <v>65</v>
      </c>
      <c r="DM17" s="675">
        <v>75</v>
      </c>
      <c r="DN17" s="675">
        <v>80</v>
      </c>
      <c r="DO17" s="675">
        <v>70</v>
      </c>
      <c r="DP17" s="675">
        <v>42</v>
      </c>
      <c r="DQ17" s="675">
        <v>75</v>
      </c>
      <c r="DR17" s="675"/>
      <c r="DS17" s="869">
        <v>100</v>
      </c>
      <c r="DT17" s="862"/>
      <c r="DW17" s="801" t="e">
        <f t="shared" si="0"/>
        <v>#VALUE!</v>
      </c>
      <c r="DX17" s="801" t="e">
        <f t="shared" si="1"/>
        <v>#VALUE!</v>
      </c>
      <c r="DY17" s="802" t="e">
        <f t="shared" si="2"/>
        <v>#VALUE!</v>
      </c>
      <c r="DZ17" s="801" t="e">
        <f t="shared" si="12"/>
        <v>#VALUE!</v>
      </c>
      <c r="EA17" s="801" t="e">
        <f t="shared" si="13"/>
        <v>#VALUE!</v>
      </c>
      <c r="EB17" s="801" t="e">
        <f t="shared" si="3"/>
        <v>#VALUE!</v>
      </c>
      <c r="EC17" s="760" t="e">
        <f t="shared" si="4"/>
        <v>#VALUE!</v>
      </c>
      <c r="ED17" s="803" t="e">
        <f t="shared" si="5"/>
        <v>#VALUE!</v>
      </c>
      <c r="EE17" s="801" t="e">
        <f t="shared" si="14"/>
        <v>#VALUE!</v>
      </c>
      <c r="EF17" s="801" t="e">
        <f t="shared" si="15"/>
        <v>#VALUE!</v>
      </c>
    </row>
    <row r="18" spans="1:150" ht="15" customHeight="1">
      <c r="A18" s="1424" t="str">
        <f t="shared" si="6"/>
        <v/>
      </c>
      <c r="B18" s="1425"/>
      <c r="C18" s="1425"/>
      <c r="D18" s="1425"/>
      <c r="E18" s="1426" t="str">
        <f t="shared" si="7"/>
        <v/>
      </c>
      <c r="F18" s="1426"/>
      <c r="G18" s="1426"/>
      <c r="H18" s="1427"/>
      <c r="I18" s="1428" t="str">
        <f t="shared" si="8"/>
        <v/>
      </c>
      <c r="J18" s="1429"/>
      <c r="K18" s="1429"/>
      <c r="L18" s="1429"/>
      <c r="M18" s="1429"/>
      <c r="N18" s="1429"/>
      <c r="O18" s="1429"/>
      <c r="P18" s="1430"/>
      <c r="Q18" s="1431" t="str">
        <f t="shared" si="9"/>
        <v/>
      </c>
      <c r="R18" s="1431"/>
      <c r="S18" s="1431"/>
      <c r="T18" s="1431"/>
      <c r="U18" s="1421" t="str">
        <f t="shared" si="16"/>
        <v/>
      </c>
      <c r="V18" s="1422"/>
      <c r="W18" s="1422"/>
      <c r="X18" s="1423"/>
      <c r="Y18" s="1421" t="str">
        <f t="shared" si="17"/>
        <v/>
      </c>
      <c r="Z18" s="1422"/>
      <c r="AA18" s="1422"/>
      <c r="AB18" s="1422"/>
      <c r="AC18" s="1421" t="str">
        <f t="shared" si="18"/>
        <v/>
      </c>
      <c r="AD18" s="1422"/>
      <c r="AE18" s="1422"/>
      <c r="AF18" s="1423"/>
      <c r="AG18" s="1407" t="str">
        <f t="shared" si="10"/>
        <v/>
      </c>
      <c r="AH18" s="1407"/>
      <c r="AI18" s="1407"/>
      <c r="AJ18" s="1407"/>
      <c r="AK18" s="1409" t="str">
        <f t="shared" si="11"/>
        <v/>
      </c>
      <c r="AL18" s="1407"/>
      <c r="AM18" s="1407"/>
      <c r="AN18" s="1408"/>
      <c r="AO18" s="827"/>
      <c r="AP18" s="265">
        <v>5</v>
      </c>
      <c r="AQ18" s="656">
        <v>4.75</v>
      </c>
      <c r="AR18" s="657">
        <v>2</v>
      </c>
      <c r="AS18" s="657">
        <v>4.75</v>
      </c>
      <c r="AT18" s="657">
        <v>4.75</v>
      </c>
      <c r="AU18" s="657">
        <v>4.75</v>
      </c>
      <c r="AV18" s="657">
        <v>4.75</v>
      </c>
      <c r="AW18" s="657">
        <v>4.75</v>
      </c>
      <c r="AX18" s="657"/>
      <c r="AY18" s="657"/>
      <c r="AZ18" s="657">
        <v>9.5</v>
      </c>
      <c r="BA18" s="657">
        <v>4.75</v>
      </c>
      <c r="BB18" s="657">
        <v>2</v>
      </c>
      <c r="BC18" s="657">
        <v>0.43</v>
      </c>
      <c r="BD18" s="657">
        <v>0.43</v>
      </c>
      <c r="BE18" s="657">
        <v>0.3</v>
      </c>
      <c r="BF18" s="657">
        <v>0.6</v>
      </c>
      <c r="BG18" s="679"/>
      <c r="BH18" s="657">
        <v>0.43</v>
      </c>
      <c r="BI18" s="657">
        <v>2</v>
      </c>
      <c r="BJ18" s="657">
        <v>4.75</v>
      </c>
      <c r="BK18" s="657">
        <v>4.75</v>
      </c>
      <c r="BL18" s="657">
        <v>4.75</v>
      </c>
      <c r="BM18" s="657">
        <v>2.36</v>
      </c>
      <c r="BN18" s="657">
        <v>4.75</v>
      </c>
      <c r="BO18" s="657"/>
      <c r="BP18" s="867">
        <v>19</v>
      </c>
      <c r="BQ18" s="868"/>
      <c r="BR18" s="266"/>
      <c r="BS18" s="692">
        <v>28</v>
      </c>
      <c r="BT18" s="675">
        <v>20</v>
      </c>
      <c r="BU18" s="675">
        <v>25</v>
      </c>
      <c r="BV18" s="675">
        <v>28</v>
      </c>
      <c r="BW18" s="675">
        <v>25</v>
      </c>
      <c r="BX18" s="693" t="s">
        <v>423</v>
      </c>
      <c r="BY18" s="693" t="s">
        <v>423</v>
      </c>
      <c r="BZ18" s="675"/>
      <c r="CA18" s="675"/>
      <c r="CB18" s="873">
        <v>14</v>
      </c>
      <c r="CC18" s="870" t="s">
        <v>423</v>
      </c>
      <c r="CD18" s="870" t="s">
        <v>423</v>
      </c>
      <c r="CE18" s="873">
        <v>37</v>
      </c>
      <c r="CF18" s="873">
        <v>23</v>
      </c>
      <c r="CG18" s="873">
        <v>30</v>
      </c>
      <c r="CH18" s="873">
        <v>30</v>
      </c>
      <c r="CI18" s="668"/>
      <c r="CJ18" s="675">
        <v>15</v>
      </c>
      <c r="CK18" s="675">
        <v>30</v>
      </c>
      <c r="CL18" s="675">
        <v>42</v>
      </c>
      <c r="CM18" s="675">
        <v>43</v>
      </c>
      <c r="CN18" s="675">
        <v>28</v>
      </c>
      <c r="CO18" s="675">
        <v>14</v>
      </c>
      <c r="CP18" s="675">
        <v>30</v>
      </c>
      <c r="CQ18" s="675"/>
      <c r="CR18" s="870" t="s">
        <v>423</v>
      </c>
      <c r="CS18" s="870"/>
      <c r="CT18" s="692">
        <v>50</v>
      </c>
      <c r="CU18" s="675">
        <v>40</v>
      </c>
      <c r="CV18" s="675">
        <v>50</v>
      </c>
      <c r="CW18" s="675">
        <v>55</v>
      </c>
      <c r="CX18" s="675">
        <v>52</v>
      </c>
      <c r="CY18" s="675">
        <v>5</v>
      </c>
      <c r="CZ18" s="675">
        <v>5</v>
      </c>
      <c r="DA18" s="675"/>
      <c r="DB18" s="675"/>
      <c r="DC18" s="873">
        <v>23</v>
      </c>
      <c r="DD18" s="873">
        <v>5</v>
      </c>
      <c r="DE18" s="873">
        <v>5</v>
      </c>
      <c r="DF18" s="873">
        <v>43</v>
      </c>
      <c r="DG18" s="873">
        <v>32</v>
      </c>
      <c r="DH18" s="873">
        <v>50</v>
      </c>
      <c r="DI18" s="873">
        <v>55</v>
      </c>
      <c r="DJ18" s="675"/>
      <c r="DK18" s="675">
        <v>25</v>
      </c>
      <c r="DL18" s="675">
        <v>44</v>
      </c>
      <c r="DM18" s="675">
        <v>58</v>
      </c>
      <c r="DN18" s="675">
        <v>58</v>
      </c>
      <c r="DO18" s="675">
        <v>42</v>
      </c>
      <c r="DP18" s="675">
        <v>22</v>
      </c>
      <c r="DQ18" s="675">
        <v>60</v>
      </c>
      <c r="DR18" s="675"/>
      <c r="DS18" s="869">
        <v>100</v>
      </c>
      <c r="DT18" s="862"/>
      <c r="DW18" s="801" t="e">
        <f t="shared" si="0"/>
        <v>#VALUE!</v>
      </c>
      <c r="DX18" s="801" t="e">
        <f t="shared" si="1"/>
        <v>#VALUE!</v>
      </c>
      <c r="DY18" s="802" t="e">
        <f t="shared" si="2"/>
        <v>#VALUE!</v>
      </c>
      <c r="DZ18" s="801" t="e">
        <f t="shared" si="12"/>
        <v>#VALUE!</v>
      </c>
      <c r="EA18" s="801" t="e">
        <f t="shared" si="13"/>
        <v>#VALUE!</v>
      </c>
      <c r="EB18" s="801" t="e">
        <f t="shared" si="3"/>
        <v>#VALUE!</v>
      </c>
      <c r="EC18" s="760" t="e">
        <f t="shared" si="4"/>
        <v>#VALUE!</v>
      </c>
      <c r="ED18" s="803" t="e">
        <f t="shared" si="5"/>
        <v>#VALUE!</v>
      </c>
      <c r="EE18" s="801" t="e">
        <f t="shared" si="14"/>
        <v>#VALUE!</v>
      </c>
      <c r="EF18" s="801" t="e">
        <f t="shared" si="15"/>
        <v>#VALUE!</v>
      </c>
    </row>
    <row r="19" spans="1:150" ht="15" customHeight="1">
      <c r="A19" s="1424" t="str">
        <f t="shared" si="6"/>
        <v/>
      </c>
      <c r="B19" s="1425"/>
      <c r="C19" s="1425"/>
      <c r="D19" s="1425"/>
      <c r="E19" s="1426" t="str">
        <f t="shared" si="7"/>
        <v/>
      </c>
      <c r="F19" s="1426"/>
      <c r="G19" s="1426"/>
      <c r="H19" s="1427"/>
      <c r="I19" s="1428" t="str">
        <f t="shared" si="8"/>
        <v/>
      </c>
      <c r="J19" s="1429"/>
      <c r="K19" s="1429"/>
      <c r="L19" s="1429"/>
      <c r="M19" s="1429"/>
      <c r="N19" s="1429"/>
      <c r="O19" s="1429"/>
      <c r="P19" s="1430"/>
      <c r="Q19" s="1431" t="str">
        <f t="shared" si="9"/>
        <v/>
      </c>
      <c r="R19" s="1431"/>
      <c r="S19" s="1431"/>
      <c r="T19" s="1431"/>
      <c r="U19" s="1421" t="str">
        <f t="shared" si="16"/>
        <v/>
      </c>
      <c r="V19" s="1422"/>
      <c r="W19" s="1422"/>
      <c r="X19" s="1423"/>
      <c r="Y19" s="1421" t="str">
        <f t="shared" si="17"/>
        <v/>
      </c>
      <c r="Z19" s="1422"/>
      <c r="AA19" s="1422"/>
      <c r="AB19" s="1422"/>
      <c r="AC19" s="1421" t="str">
        <f t="shared" si="18"/>
        <v/>
      </c>
      <c r="AD19" s="1422"/>
      <c r="AE19" s="1422"/>
      <c r="AF19" s="1423"/>
      <c r="AG19" s="1407" t="str">
        <f t="shared" si="10"/>
        <v/>
      </c>
      <c r="AH19" s="1407"/>
      <c r="AI19" s="1407"/>
      <c r="AJ19" s="1407"/>
      <c r="AK19" s="1409" t="str">
        <f t="shared" si="11"/>
        <v/>
      </c>
      <c r="AL19" s="1407"/>
      <c r="AM19" s="1407"/>
      <c r="AN19" s="1408"/>
      <c r="AO19" s="827"/>
      <c r="AP19" s="265">
        <v>6</v>
      </c>
      <c r="AQ19" s="656">
        <v>2</v>
      </c>
      <c r="AR19" s="666">
        <v>0.43</v>
      </c>
      <c r="AS19" s="657">
        <v>2</v>
      </c>
      <c r="AT19" s="657">
        <v>2</v>
      </c>
      <c r="AU19" s="657">
        <v>2</v>
      </c>
      <c r="AV19" s="657"/>
      <c r="AW19" s="657"/>
      <c r="AX19" s="657"/>
      <c r="AY19" s="657"/>
      <c r="AZ19" s="657">
        <v>4.75</v>
      </c>
      <c r="BA19" s="657">
        <v>2</v>
      </c>
      <c r="BB19" s="657">
        <v>0.43</v>
      </c>
      <c r="BC19" s="657">
        <v>0.18</v>
      </c>
      <c r="BD19" s="657">
        <v>0.18</v>
      </c>
      <c r="BE19" s="657">
        <v>0.15</v>
      </c>
      <c r="BF19" s="657">
        <v>0.3</v>
      </c>
      <c r="BG19" s="679"/>
      <c r="BH19" s="657">
        <v>0.18</v>
      </c>
      <c r="BI19" s="657">
        <v>0.43</v>
      </c>
      <c r="BJ19" s="657">
        <v>2</v>
      </c>
      <c r="BK19" s="657">
        <v>2.36</v>
      </c>
      <c r="BL19" s="657">
        <v>2.36</v>
      </c>
      <c r="BM19" s="657">
        <v>7.4999999999999997E-2</v>
      </c>
      <c r="BN19" s="657">
        <v>2</v>
      </c>
      <c r="BO19" s="657"/>
      <c r="BP19" s="867">
        <v>12.5</v>
      </c>
      <c r="BQ19" s="868"/>
      <c r="BR19" s="266"/>
      <c r="BS19" s="692">
        <v>15</v>
      </c>
      <c r="BT19" s="675">
        <v>8</v>
      </c>
      <c r="BU19" s="675">
        <v>15</v>
      </c>
      <c r="BV19" s="675">
        <v>16</v>
      </c>
      <c r="BW19" s="675">
        <v>15</v>
      </c>
      <c r="BX19" s="675"/>
      <c r="BY19" s="675"/>
      <c r="BZ19" s="675"/>
      <c r="CA19" s="675"/>
      <c r="CB19" s="873">
        <v>1</v>
      </c>
      <c r="CC19" s="870" t="s">
        <v>423</v>
      </c>
      <c r="CD19" s="870" t="s">
        <v>423</v>
      </c>
      <c r="CE19" s="873">
        <v>21</v>
      </c>
      <c r="CF19" s="873">
        <v>13</v>
      </c>
      <c r="CG19" s="870" t="s">
        <v>423</v>
      </c>
      <c r="CH19" s="873">
        <v>15</v>
      </c>
      <c r="CI19" s="668"/>
      <c r="CJ19" s="675">
        <v>9</v>
      </c>
      <c r="CK19" s="675">
        <v>14</v>
      </c>
      <c r="CL19" s="675">
        <v>27</v>
      </c>
      <c r="CM19" s="675">
        <v>30</v>
      </c>
      <c r="CN19" s="675">
        <v>14</v>
      </c>
      <c r="CO19" s="694" t="s">
        <v>423</v>
      </c>
      <c r="CP19" s="675">
        <v>20</v>
      </c>
      <c r="CQ19" s="675"/>
      <c r="CR19" s="870" t="s">
        <v>423</v>
      </c>
      <c r="CS19" s="870"/>
      <c r="CT19" s="692">
        <v>35</v>
      </c>
      <c r="CU19" s="675">
        <v>22</v>
      </c>
      <c r="CV19" s="675">
        <v>35</v>
      </c>
      <c r="CW19" s="675">
        <v>40</v>
      </c>
      <c r="CX19" s="675">
        <v>40</v>
      </c>
      <c r="CY19" s="675"/>
      <c r="CZ19" s="675"/>
      <c r="DA19" s="675"/>
      <c r="DB19" s="675"/>
      <c r="DC19" s="873">
        <v>9</v>
      </c>
      <c r="DD19" s="873">
        <v>5</v>
      </c>
      <c r="DE19" s="873">
        <v>5</v>
      </c>
      <c r="DF19" s="873">
        <v>28</v>
      </c>
      <c r="DG19" s="873">
        <v>23</v>
      </c>
      <c r="DH19" s="873">
        <v>20</v>
      </c>
      <c r="DI19" s="873">
        <v>35</v>
      </c>
      <c r="DJ19" s="675"/>
      <c r="DK19" s="675">
        <v>18</v>
      </c>
      <c r="DL19" s="675">
        <v>22</v>
      </c>
      <c r="DM19" s="675">
        <v>41</v>
      </c>
      <c r="DN19" s="675">
        <v>45</v>
      </c>
      <c r="DO19" s="675">
        <v>22</v>
      </c>
      <c r="DP19" s="675">
        <v>6</v>
      </c>
      <c r="DQ19" s="675">
        <v>45</v>
      </c>
      <c r="DR19" s="675"/>
      <c r="DS19" s="869">
        <v>100</v>
      </c>
      <c r="DT19" s="862"/>
      <c r="DW19" s="801" t="e">
        <f t="shared" si="0"/>
        <v>#VALUE!</v>
      </c>
      <c r="DX19" s="801" t="e">
        <f t="shared" si="1"/>
        <v>#VALUE!</v>
      </c>
      <c r="DY19" s="802" t="e">
        <f t="shared" si="2"/>
        <v>#VALUE!</v>
      </c>
      <c r="DZ19" s="801" t="e">
        <f t="shared" si="12"/>
        <v>#VALUE!</v>
      </c>
      <c r="EA19" s="801" t="e">
        <f t="shared" si="13"/>
        <v>#VALUE!</v>
      </c>
      <c r="EB19" s="801" t="e">
        <f t="shared" si="3"/>
        <v>#VALUE!</v>
      </c>
      <c r="EC19" s="760" t="e">
        <f t="shared" si="4"/>
        <v>#VALUE!</v>
      </c>
      <c r="ED19" s="803" t="e">
        <f t="shared" si="5"/>
        <v>#VALUE!</v>
      </c>
      <c r="EE19" s="801" t="e">
        <f t="shared" si="14"/>
        <v>#VALUE!</v>
      </c>
      <c r="EF19" s="801" t="e">
        <f t="shared" si="15"/>
        <v>#VALUE!</v>
      </c>
      <c r="EG19" s="760" t="e">
        <f t="shared" ref="EG19:EG24" si="19">ABS(MID(Q20,SEARCH(",",Q20,1),2))</f>
        <v>#VALUE!</v>
      </c>
      <c r="EH19" s="760" t="e">
        <f t="shared" ref="EH19:EH24" si="20">ABS(MID(Q20,SEARCH(",",Q20,1),3))</f>
        <v>#VALUE!</v>
      </c>
      <c r="EI19" s="803" t="e">
        <f t="shared" ref="EI19:EI24" si="21">TRUNC(Q20,0)</f>
        <v>#VALUE!</v>
      </c>
      <c r="EJ19" s="760" t="e">
        <f t="shared" ref="EJ19:EJ24" si="22">ABS(MID(Q20,SEARCH(",",Q20,1),4))</f>
        <v>#VALUE!</v>
      </c>
      <c r="EK19" s="760" t="e">
        <f t="shared" ref="EK19:EK24" si="23">ABS(EG19-EH19)</f>
        <v>#VALUE!</v>
      </c>
      <c r="EL19" s="760" t="e">
        <f t="shared" ref="EL19:EL24" si="24">ABS(EJ19-EH19)</f>
        <v>#VALUE!</v>
      </c>
      <c r="EM19" s="760" t="e">
        <f t="shared" ref="EM19:EM24" si="25">IF(EL19&gt;0,EI19+EG19+0.1,IF(AND(EL19=0,ISODD(EH19*10)),EI19+EG19+0.1,EI19+EG19))</f>
        <v>#VALUE!</v>
      </c>
      <c r="EN19" s="760" t="e">
        <f t="shared" ref="EN19:EN24" si="26">ABS(MID(U20,SEARCH(",",U20,1),2))</f>
        <v>#VALUE!</v>
      </c>
      <c r="EO19" s="760" t="e">
        <f t="shared" ref="EO19:EO24" si="27">ABS(MID(U20,SEARCH(",",U20,1),3))</f>
        <v>#VALUE!</v>
      </c>
      <c r="EP19" s="803" t="e">
        <f t="shared" ref="EP19:EP24" si="28">TRUNC(U20,0)</f>
        <v>#VALUE!</v>
      </c>
      <c r="EQ19" s="760" t="e">
        <f t="shared" ref="EQ19:EQ24" si="29">ABS(MID(U20,SEARCH(",",U20,1),4))</f>
        <v>#VALUE!</v>
      </c>
      <c r="ER19" s="760" t="e">
        <f t="shared" ref="ER19:ER24" si="30">ABS(EN19-EO19)</f>
        <v>#VALUE!</v>
      </c>
      <c r="ES19" s="760" t="e">
        <f t="shared" ref="ES19:ES24" si="31">ABS(EQ19-EO19)</f>
        <v>#VALUE!</v>
      </c>
      <c r="ET19" s="760" t="e">
        <f t="shared" ref="ET19:ET24" si="32">IF(ES19&gt;0,EP19+EN19+0.1,IF(AND(ES19=0,ISODD(EO19*10)),EP19+EN19+0.1,EP19+EN19))</f>
        <v>#VALUE!</v>
      </c>
    </row>
    <row r="20" spans="1:150" ht="15" customHeight="1">
      <c r="A20" s="1424" t="str">
        <f t="shared" si="6"/>
        <v/>
      </c>
      <c r="B20" s="1425"/>
      <c r="C20" s="1425"/>
      <c r="D20" s="1425"/>
      <c r="E20" s="1426" t="str">
        <f t="shared" si="7"/>
        <v/>
      </c>
      <c r="F20" s="1426"/>
      <c r="G20" s="1426"/>
      <c r="H20" s="1427"/>
      <c r="I20" s="1428" t="str">
        <f t="shared" si="8"/>
        <v/>
      </c>
      <c r="J20" s="1429"/>
      <c r="K20" s="1429"/>
      <c r="L20" s="1429"/>
      <c r="M20" s="1429"/>
      <c r="N20" s="1429"/>
      <c r="O20" s="1429"/>
      <c r="P20" s="1430"/>
      <c r="Q20" s="1431" t="str">
        <f t="shared" si="9"/>
        <v/>
      </c>
      <c r="R20" s="1431"/>
      <c r="S20" s="1431"/>
      <c r="T20" s="1431"/>
      <c r="U20" s="1421" t="str">
        <f t="shared" si="16"/>
        <v/>
      </c>
      <c r="V20" s="1422"/>
      <c r="W20" s="1422"/>
      <c r="X20" s="1423"/>
      <c r="Y20" s="1421" t="str">
        <f t="shared" si="17"/>
        <v/>
      </c>
      <c r="Z20" s="1422"/>
      <c r="AA20" s="1422"/>
      <c r="AB20" s="1422"/>
      <c r="AC20" s="1421" t="str">
        <f t="shared" si="18"/>
        <v/>
      </c>
      <c r="AD20" s="1422"/>
      <c r="AE20" s="1422"/>
      <c r="AF20" s="1423"/>
      <c r="AG20" s="1407" t="str">
        <f t="shared" si="10"/>
        <v/>
      </c>
      <c r="AH20" s="1407"/>
      <c r="AI20" s="1407"/>
      <c r="AJ20" s="1407"/>
      <c r="AK20" s="1409" t="str">
        <f t="shared" si="11"/>
        <v/>
      </c>
      <c r="AL20" s="1407"/>
      <c r="AM20" s="1407"/>
      <c r="AN20" s="1408"/>
      <c r="AO20" s="827"/>
      <c r="AP20" s="265">
        <v>7</v>
      </c>
      <c r="AQ20" s="674">
        <v>0.43</v>
      </c>
      <c r="AR20" s="657">
        <v>7.4999999999999997E-2</v>
      </c>
      <c r="AS20" s="666">
        <v>0.43</v>
      </c>
      <c r="AT20" s="666">
        <v>0.43</v>
      </c>
      <c r="AU20" s="666">
        <v>0.43</v>
      </c>
      <c r="AV20" s="666"/>
      <c r="AW20" s="666"/>
      <c r="AX20" s="666"/>
      <c r="AY20" s="666"/>
      <c r="AZ20" s="657">
        <v>2</v>
      </c>
      <c r="BA20" s="657">
        <v>0.43</v>
      </c>
      <c r="BB20" s="657">
        <v>0.18</v>
      </c>
      <c r="BC20" s="657">
        <v>7.4999999999999997E-2</v>
      </c>
      <c r="BD20" s="657">
        <v>7.4999999999999997E-2</v>
      </c>
      <c r="BE20" s="657">
        <v>7.4999999999999997E-2</v>
      </c>
      <c r="BF20" s="657">
        <v>0.15</v>
      </c>
      <c r="BG20" s="679"/>
      <c r="BH20" s="657">
        <v>7.4999999999999997E-2</v>
      </c>
      <c r="BI20" s="657">
        <v>0.18</v>
      </c>
      <c r="BJ20" s="657">
        <v>0.43</v>
      </c>
      <c r="BK20" s="657">
        <v>7.4999999999999997E-2</v>
      </c>
      <c r="BL20" s="657">
        <v>7.4999999999999997E-2</v>
      </c>
      <c r="BM20" s="657"/>
      <c r="BN20" s="657">
        <v>0.43</v>
      </c>
      <c r="BO20" s="657"/>
      <c r="BP20" s="657"/>
      <c r="BQ20" s="681"/>
      <c r="BR20" s="268"/>
      <c r="BS20" s="692">
        <v>6</v>
      </c>
      <c r="BT20" s="675">
        <v>2</v>
      </c>
      <c r="BU20" s="675">
        <v>6</v>
      </c>
      <c r="BV20" s="675">
        <v>6</v>
      </c>
      <c r="BW20" s="686">
        <v>6</v>
      </c>
      <c r="BX20" s="686"/>
      <c r="BY20" s="686"/>
      <c r="BZ20" s="686"/>
      <c r="CA20" s="686"/>
      <c r="CB20" s="870" t="s">
        <v>423</v>
      </c>
      <c r="CC20" s="870" t="s">
        <v>423</v>
      </c>
      <c r="CD20" s="870" t="s">
        <v>423</v>
      </c>
      <c r="CE20" s="873">
        <v>13</v>
      </c>
      <c r="CF20" s="873">
        <v>8</v>
      </c>
      <c r="CG20" s="870" t="s">
        <v>423</v>
      </c>
      <c r="CH20" s="873">
        <v>2</v>
      </c>
      <c r="CI20" s="668"/>
      <c r="CJ20" s="675">
        <v>5</v>
      </c>
      <c r="CK20" s="675">
        <v>8</v>
      </c>
      <c r="CL20" s="675">
        <v>12</v>
      </c>
      <c r="CM20" s="686">
        <v>7</v>
      </c>
      <c r="CN20" s="694" t="s">
        <v>423</v>
      </c>
      <c r="CO20" s="686"/>
      <c r="CP20" s="686">
        <v>10</v>
      </c>
      <c r="CQ20" s="686"/>
      <c r="CR20" s="870" t="s">
        <v>423</v>
      </c>
      <c r="CS20" s="872"/>
      <c r="CT20" s="692">
        <v>20</v>
      </c>
      <c r="CU20" s="675">
        <v>10</v>
      </c>
      <c r="CV20" s="675">
        <v>20</v>
      </c>
      <c r="CW20" s="675">
        <v>22</v>
      </c>
      <c r="CX20" s="675">
        <v>25</v>
      </c>
      <c r="CY20" s="675"/>
      <c r="CZ20" s="675"/>
      <c r="DA20" s="675"/>
      <c r="DB20" s="675"/>
      <c r="DC20" s="873">
        <v>6</v>
      </c>
      <c r="DD20" s="873">
        <v>5</v>
      </c>
      <c r="DE20" s="873">
        <v>5</v>
      </c>
      <c r="DF20" s="873">
        <v>16</v>
      </c>
      <c r="DG20" s="873">
        <v>12</v>
      </c>
      <c r="DH20" s="873">
        <v>5</v>
      </c>
      <c r="DI20" s="873">
        <v>20</v>
      </c>
      <c r="DJ20" s="675"/>
      <c r="DK20" s="675">
        <v>10</v>
      </c>
      <c r="DL20" s="675">
        <v>16</v>
      </c>
      <c r="DM20" s="675">
        <v>22</v>
      </c>
      <c r="DN20" s="675">
        <v>10</v>
      </c>
      <c r="DO20" s="675">
        <v>6</v>
      </c>
      <c r="DP20" s="675"/>
      <c r="DQ20" s="675">
        <v>30</v>
      </c>
      <c r="DR20" s="675"/>
      <c r="DS20" s="873">
        <v>100</v>
      </c>
      <c r="DT20" s="862"/>
      <c r="DW20" s="801" t="e">
        <f t="shared" si="0"/>
        <v>#VALUE!</v>
      </c>
      <c r="DX20" s="801" t="e">
        <f t="shared" si="1"/>
        <v>#VALUE!</v>
      </c>
      <c r="DY20" s="802" t="e">
        <f t="shared" si="2"/>
        <v>#VALUE!</v>
      </c>
      <c r="DZ20" s="801" t="e">
        <f t="shared" si="12"/>
        <v>#VALUE!</v>
      </c>
      <c r="EA20" s="801" t="e">
        <f t="shared" si="13"/>
        <v>#VALUE!</v>
      </c>
      <c r="EB20" s="801" t="e">
        <f t="shared" si="3"/>
        <v>#VALUE!</v>
      </c>
      <c r="EC20" s="760" t="e">
        <f t="shared" si="4"/>
        <v>#VALUE!</v>
      </c>
      <c r="ED20" s="803" t="e">
        <f t="shared" si="5"/>
        <v>#VALUE!</v>
      </c>
      <c r="EE20" s="801" t="e">
        <f t="shared" si="14"/>
        <v>#VALUE!</v>
      </c>
      <c r="EF20" s="801" t="e">
        <f t="shared" si="15"/>
        <v>#VALUE!</v>
      </c>
      <c r="EG20" s="760" t="e">
        <f t="shared" si="19"/>
        <v>#VALUE!</v>
      </c>
      <c r="EH20" s="760" t="e">
        <f t="shared" si="20"/>
        <v>#VALUE!</v>
      </c>
      <c r="EI20" s="803" t="e">
        <f t="shared" si="21"/>
        <v>#VALUE!</v>
      </c>
      <c r="EJ20" s="760" t="e">
        <f t="shared" si="22"/>
        <v>#VALUE!</v>
      </c>
      <c r="EK20" s="760" t="e">
        <f t="shared" si="23"/>
        <v>#VALUE!</v>
      </c>
      <c r="EL20" s="760" t="e">
        <f t="shared" si="24"/>
        <v>#VALUE!</v>
      </c>
      <c r="EM20" s="760" t="e">
        <f t="shared" si="25"/>
        <v>#VALUE!</v>
      </c>
      <c r="EN20" s="760" t="e">
        <f t="shared" si="26"/>
        <v>#VALUE!</v>
      </c>
      <c r="EO20" s="760" t="e">
        <f t="shared" si="27"/>
        <v>#VALUE!</v>
      </c>
      <c r="EP20" s="803" t="e">
        <f t="shared" si="28"/>
        <v>#VALUE!</v>
      </c>
      <c r="EQ20" s="760" t="e">
        <f t="shared" si="29"/>
        <v>#VALUE!</v>
      </c>
      <c r="ER20" s="760" t="e">
        <f t="shared" si="30"/>
        <v>#VALUE!</v>
      </c>
      <c r="ES20" s="760" t="e">
        <f t="shared" si="31"/>
        <v>#VALUE!</v>
      </c>
      <c r="ET20" s="760" t="e">
        <f t="shared" si="32"/>
        <v>#VALUE!</v>
      </c>
    </row>
    <row r="21" spans="1:150" ht="15" customHeight="1">
      <c r="A21" s="1424" t="str">
        <f t="shared" si="6"/>
        <v/>
      </c>
      <c r="B21" s="1425"/>
      <c r="C21" s="1425"/>
      <c r="D21" s="1425"/>
      <c r="E21" s="1426" t="str">
        <f t="shared" si="7"/>
        <v/>
      </c>
      <c r="F21" s="1426"/>
      <c r="G21" s="1426"/>
      <c r="H21" s="1427"/>
      <c r="I21" s="1428" t="str">
        <f t="shared" si="8"/>
        <v/>
      </c>
      <c r="J21" s="1429"/>
      <c r="K21" s="1429"/>
      <c r="L21" s="1429"/>
      <c r="M21" s="1429"/>
      <c r="N21" s="1429"/>
      <c r="O21" s="1429"/>
      <c r="P21" s="1430"/>
      <c r="Q21" s="1431" t="str">
        <f t="shared" si="9"/>
        <v/>
      </c>
      <c r="R21" s="1431"/>
      <c r="S21" s="1431"/>
      <c r="T21" s="1431"/>
      <c r="U21" s="1421" t="str">
        <f t="shared" si="16"/>
        <v/>
      </c>
      <c r="V21" s="1422"/>
      <c r="W21" s="1422"/>
      <c r="X21" s="1423"/>
      <c r="Y21" s="1421" t="str">
        <f t="shared" si="17"/>
        <v/>
      </c>
      <c r="Z21" s="1422"/>
      <c r="AA21" s="1422"/>
      <c r="AB21" s="1422"/>
      <c r="AC21" s="1421" t="str">
        <f t="shared" si="18"/>
        <v/>
      </c>
      <c r="AD21" s="1422"/>
      <c r="AE21" s="1422"/>
      <c r="AF21" s="1423"/>
      <c r="AG21" s="1407" t="str">
        <f t="shared" si="10"/>
        <v/>
      </c>
      <c r="AH21" s="1407"/>
      <c r="AI21" s="1407"/>
      <c r="AJ21" s="1407"/>
      <c r="AK21" s="1409" t="str">
        <f t="shared" si="11"/>
        <v/>
      </c>
      <c r="AL21" s="1407"/>
      <c r="AM21" s="1407"/>
      <c r="AN21" s="1408"/>
      <c r="AO21" s="827"/>
      <c r="AP21" s="265">
        <v>8</v>
      </c>
      <c r="AQ21" s="656">
        <v>7.4999999999999997E-2</v>
      </c>
      <c r="AR21" s="657"/>
      <c r="AS21" s="657">
        <v>7.4999999999999997E-2</v>
      </c>
      <c r="AT21" s="657">
        <v>7.4999999999999997E-2</v>
      </c>
      <c r="AU21" s="657">
        <v>7.4999999999999997E-2</v>
      </c>
      <c r="AV21" s="657"/>
      <c r="AW21" s="657"/>
      <c r="AX21" s="657"/>
      <c r="AY21" s="657"/>
      <c r="AZ21" s="657">
        <v>0.43</v>
      </c>
      <c r="BA21" s="667">
        <v>0.18</v>
      </c>
      <c r="BB21" s="657">
        <v>7.4999999999999997E-2</v>
      </c>
      <c r="BC21" s="657"/>
      <c r="BD21" s="657"/>
      <c r="BE21" s="657"/>
      <c r="BF21" s="657">
        <v>7.4999999999999997E-2</v>
      </c>
      <c r="BG21" s="679"/>
      <c r="BH21" s="657"/>
      <c r="BI21" s="657">
        <v>7.4999999999999997E-2</v>
      </c>
      <c r="BJ21" s="657">
        <v>0.18</v>
      </c>
      <c r="BK21" s="657"/>
      <c r="BL21" s="657"/>
      <c r="BM21" s="657"/>
      <c r="BN21" s="657">
        <v>7.4999999999999997E-2</v>
      </c>
      <c r="BO21" s="657"/>
      <c r="BP21" s="657"/>
      <c r="BQ21" s="680"/>
      <c r="BR21" s="266"/>
      <c r="BS21" s="692">
        <v>2</v>
      </c>
      <c r="BT21" s="675"/>
      <c r="BU21" s="693" t="s">
        <v>423</v>
      </c>
      <c r="BV21" s="693" t="s">
        <v>423</v>
      </c>
      <c r="BW21" s="693" t="s">
        <v>423</v>
      </c>
      <c r="BX21" s="675"/>
      <c r="BY21" s="675"/>
      <c r="BZ21" s="675"/>
      <c r="CA21" s="675"/>
      <c r="CB21" s="874" t="s">
        <v>423</v>
      </c>
      <c r="CC21" s="870" t="s">
        <v>423</v>
      </c>
      <c r="CD21" s="870" t="s">
        <v>423</v>
      </c>
      <c r="CG21" s="873"/>
      <c r="CH21" s="870" t="s">
        <v>423</v>
      </c>
      <c r="CI21" s="668"/>
      <c r="CJ21" s="675"/>
      <c r="CK21" s="675">
        <v>4</v>
      </c>
      <c r="CL21" s="675">
        <v>8</v>
      </c>
      <c r="CM21" s="675"/>
      <c r="CN21" s="675"/>
      <c r="CO21" s="675"/>
      <c r="CP21" s="675">
        <v>5</v>
      </c>
      <c r="CQ21" s="675"/>
      <c r="CR21" s="675"/>
      <c r="CS21" s="675"/>
      <c r="CT21" s="692">
        <v>10</v>
      </c>
      <c r="CU21" s="675"/>
      <c r="CV21" s="675">
        <v>10</v>
      </c>
      <c r="CW21" s="675">
        <v>12</v>
      </c>
      <c r="CX21" s="675">
        <v>14</v>
      </c>
      <c r="CY21" s="675"/>
      <c r="CZ21" s="675"/>
      <c r="DA21" s="675"/>
      <c r="DB21" s="675"/>
      <c r="DC21" s="873">
        <v>6</v>
      </c>
      <c r="DD21" s="873">
        <v>5</v>
      </c>
      <c r="DE21" s="873">
        <v>3</v>
      </c>
      <c r="DH21" s="873"/>
      <c r="DI21" s="873">
        <v>5</v>
      </c>
      <c r="DJ21" s="675"/>
      <c r="DK21" s="675"/>
      <c r="DL21" s="675">
        <v>9</v>
      </c>
      <c r="DM21" s="675">
        <v>16</v>
      </c>
      <c r="DN21" s="675"/>
      <c r="DO21" s="675"/>
      <c r="DP21" s="675"/>
      <c r="DQ21" s="675">
        <v>20</v>
      </c>
      <c r="DR21" s="675"/>
      <c r="DS21" s="675"/>
      <c r="DT21" s="691"/>
      <c r="DW21" s="801" t="e">
        <f t="shared" si="0"/>
        <v>#VALUE!</v>
      </c>
      <c r="DX21" s="801" t="e">
        <f t="shared" si="1"/>
        <v>#VALUE!</v>
      </c>
      <c r="DY21" s="802" t="e">
        <f t="shared" si="2"/>
        <v>#VALUE!</v>
      </c>
      <c r="DZ21" s="801" t="e">
        <f t="shared" si="12"/>
        <v>#VALUE!</v>
      </c>
      <c r="EA21" s="801" t="e">
        <f t="shared" si="13"/>
        <v>#VALUE!</v>
      </c>
      <c r="EB21" s="801" t="e">
        <f t="shared" si="3"/>
        <v>#VALUE!</v>
      </c>
      <c r="EC21" s="760" t="e">
        <f t="shared" si="4"/>
        <v>#VALUE!</v>
      </c>
      <c r="ED21" s="803" t="e">
        <f t="shared" si="5"/>
        <v>#VALUE!</v>
      </c>
      <c r="EE21" s="801" t="e">
        <f t="shared" si="14"/>
        <v>#VALUE!</v>
      </c>
      <c r="EF21" s="801" t="e">
        <f t="shared" si="15"/>
        <v>#VALUE!</v>
      </c>
      <c r="EG21" s="760" t="e">
        <f t="shared" si="19"/>
        <v>#VALUE!</v>
      </c>
      <c r="EH21" s="760" t="e">
        <f t="shared" si="20"/>
        <v>#VALUE!</v>
      </c>
      <c r="EI21" s="803" t="e">
        <f t="shared" si="21"/>
        <v>#VALUE!</v>
      </c>
      <c r="EJ21" s="760" t="e">
        <f t="shared" si="22"/>
        <v>#VALUE!</v>
      </c>
      <c r="EK21" s="760" t="e">
        <f t="shared" si="23"/>
        <v>#VALUE!</v>
      </c>
      <c r="EL21" s="760" t="e">
        <f t="shared" si="24"/>
        <v>#VALUE!</v>
      </c>
      <c r="EM21" s="760" t="e">
        <f t="shared" si="25"/>
        <v>#VALUE!</v>
      </c>
      <c r="EN21" s="760" t="e">
        <f t="shared" si="26"/>
        <v>#VALUE!</v>
      </c>
      <c r="EO21" s="760" t="e">
        <f t="shared" si="27"/>
        <v>#VALUE!</v>
      </c>
      <c r="EP21" s="803" t="e">
        <f t="shared" si="28"/>
        <v>#VALUE!</v>
      </c>
      <c r="EQ21" s="760" t="e">
        <f t="shared" si="29"/>
        <v>#VALUE!</v>
      </c>
      <c r="ER21" s="760" t="e">
        <f t="shared" si="30"/>
        <v>#VALUE!</v>
      </c>
      <c r="ES21" s="760" t="e">
        <f t="shared" si="31"/>
        <v>#VALUE!</v>
      </c>
      <c r="ET21" s="760" t="e">
        <f t="shared" si="32"/>
        <v>#VALUE!</v>
      </c>
    </row>
    <row r="22" spans="1:150" ht="15" customHeight="1">
      <c r="A22" s="1424" t="str">
        <f t="shared" si="6"/>
        <v/>
      </c>
      <c r="B22" s="1425"/>
      <c r="C22" s="1425"/>
      <c r="D22" s="1425"/>
      <c r="E22" s="1426" t="str">
        <f t="shared" si="7"/>
        <v/>
      </c>
      <c r="F22" s="1426"/>
      <c r="G22" s="1426"/>
      <c r="H22" s="1427"/>
      <c r="I22" s="1428" t="str">
        <f t="shared" si="8"/>
        <v/>
      </c>
      <c r="J22" s="1429"/>
      <c r="K22" s="1429"/>
      <c r="L22" s="1429"/>
      <c r="M22" s="1429"/>
      <c r="N22" s="1429"/>
      <c r="O22" s="1429"/>
      <c r="P22" s="1430"/>
      <c r="Q22" s="1431" t="str">
        <f t="shared" si="9"/>
        <v/>
      </c>
      <c r="R22" s="1431"/>
      <c r="S22" s="1431"/>
      <c r="T22" s="1431"/>
      <c r="U22" s="1421" t="str">
        <f t="shared" si="16"/>
        <v/>
      </c>
      <c r="V22" s="1422"/>
      <c r="W22" s="1422"/>
      <c r="X22" s="1423"/>
      <c r="Y22" s="1421" t="str">
        <f t="shared" si="17"/>
        <v/>
      </c>
      <c r="Z22" s="1422"/>
      <c r="AA22" s="1422"/>
      <c r="AB22" s="1422"/>
      <c r="AC22" s="1421" t="str">
        <f t="shared" si="18"/>
        <v/>
      </c>
      <c r="AD22" s="1422"/>
      <c r="AE22" s="1422"/>
      <c r="AF22" s="1423"/>
      <c r="AG22" s="1407" t="str">
        <f t="shared" si="10"/>
        <v/>
      </c>
      <c r="AH22" s="1407"/>
      <c r="AI22" s="1407"/>
      <c r="AJ22" s="1407"/>
      <c r="AK22" s="1409" t="str">
        <f t="shared" si="11"/>
        <v/>
      </c>
      <c r="AL22" s="1407"/>
      <c r="AM22" s="1407"/>
      <c r="AN22" s="1408"/>
      <c r="AO22" s="827"/>
      <c r="AP22" s="265">
        <v>9</v>
      </c>
      <c r="AQ22" s="674"/>
      <c r="AR22" s="666"/>
      <c r="AS22" s="662"/>
      <c r="AT22" s="666"/>
      <c r="AU22" s="666"/>
      <c r="AV22" s="666"/>
      <c r="AW22" s="666"/>
      <c r="AX22" s="666"/>
      <c r="AY22" s="666"/>
      <c r="AZ22" s="666">
        <v>0.18</v>
      </c>
      <c r="BA22" s="666">
        <v>7.4999999999999997E-2</v>
      </c>
      <c r="BB22" s="666"/>
      <c r="BC22" s="666"/>
      <c r="BD22" s="666"/>
      <c r="BE22" s="666"/>
      <c r="BF22" s="666"/>
      <c r="BG22" s="679"/>
      <c r="BH22" s="666"/>
      <c r="BI22" s="665"/>
      <c r="BJ22" s="657">
        <v>7.4999999999999997E-2</v>
      </c>
      <c r="BK22" s="665"/>
      <c r="BL22" s="665"/>
      <c r="BM22" s="665"/>
      <c r="BN22" s="665"/>
      <c r="BO22" s="665"/>
      <c r="BP22" s="665"/>
      <c r="BQ22" s="682"/>
      <c r="BR22" s="267"/>
      <c r="BS22" s="687"/>
      <c r="BT22" s="675"/>
      <c r="BU22" s="686"/>
      <c r="BV22" s="695"/>
      <c r="BW22" s="686"/>
      <c r="BX22" s="686"/>
      <c r="BY22" s="686"/>
      <c r="BZ22" s="686"/>
      <c r="CA22" s="686"/>
      <c r="CB22" s="874" t="s">
        <v>423</v>
      </c>
      <c r="CC22" s="870" t="s">
        <v>423</v>
      </c>
      <c r="CD22" s="875"/>
      <c r="CG22" s="875"/>
      <c r="CH22" s="875"/>
      <c r="CI22" s="668"/>
      <c r="CJ22" s="231"/>
      <c r="CK22" s="675"/>
      <c r="CL22" s="675">
        <v>4</v>
      </c>
      <c r="CM22" s="685"/>
      <c r="CN22" s="685"/>
      <c r="CO22" s="685"/>
      <c r="CP22" s="685"/>
      <c r="CQ22" s="685"/>
      <c r="CR22" s="685"/>
      <c r="CS22" s="685"/>
      <c r="CT22" s="697"/>
      <c r="CU22" s="675"/>
      <c r="CV22" s="675"/>
      <c r="CW22" s="675"/>
      <c r="CX22" s="675"/>
      <c r="CY22" s="675"/>
      <c r="CZ22" s="675"/>
      <c r="DA22" s="675"/>
      <c r="DB22" s="675"/>
      <c r="DC22" s="873">
        <v>6</v>
      </c>
      <c r="DD22" s="873">
        <v>3</v>
      </c>
      <c r="DH22" s="873"/>
      <c r="DI22" s="873"/>
      <c r="DJ22" s="675"/>
      <c r="DK22" s="675"/>
      <c r="DL22" s="675"/>
      <c r="DM22" s="675">
        <v>9</v>
      </c>
      <c r="DN22" s="675"/>
      <c r="DO22" s="675"/>
      <c r="DP22" s="675"/>
      <c r="DQ22" s="675"/>
      <c r="DR22" s="675"/>
      <c r="DS22" s="675"/>
      <c r="DT22" s="691"/>
      <c r="DW22" s="801" t="e">
        <f t="shared" si="0"/>
        <v>#VALUE!</v>
      </c>
      <c r="DX22" s="801" t="e">
        <f t="shared" si="1"/>
        <v>#VALUE!</v>
      </c>
      <c r="DY22" s="802" t="e">
        <f t="shared" si="2"/>
        <v>#VALUE!</v>
      </c>
      <c r="DZ22" s="801" t="e">
        <f t="shared" si="12"/>
        <v>#VALUE!</v>
      </c>
      <c r="EA22" s="801" t="e">
        <f t="shared" si="13"/>
        <v>#VALUE!</v>
      </c>
      <c r="EB22" s="801" t="e">
        <f t="shared" si="3"/>
        <v>#VALUE!</v>
      </c>
      <c r="EC22" s="760" t="e">
        <f t="shared" si="4"/>
        <v>#VALUE!</v>
      </c>
      <c r="ED22" s="803" t="e">
        <f t="shared" si="5"/>
        <v>#VALUE!</v>
      </c>
      <c r="EE22" s="801" t="e">
        <f t="shared" si="14"/>
        <v>#VALUE!</v>
      </c>
      <c r="EF22" s="801" t="e">
        <f t="shared" si="15"/>
        <v>#VALUE!</v>
      </c>
      <c r="EG22" s="760" t="e">
        <f t="shared" si="19"/>
        <v>#VALUE!</v>
      </c>
      <c r="EH22" s="760" t="e">
        <f t="shared" si="20"/>
        <v>#VALUE!</v>
      </c>
      <c r="EI22" s="803" t="e">
        <f t="shared" si="21"/>
        <v>#VALUE!</v>
      </c>
      <c r="EJ22" s="760" t="e">
        <f t="shared" si="22"/>
        <v>#VALUE!</v>
      </c>
      <c r="EK22" s="760" t="e">
        <f t="shared" si="23"/>
        <v>#VALUE!</v>
      </c>
      <c r="EL22" s="760" t="e">
        <f t="shared" si="24"/>
        <v>#VALUE!</v>
      </c>
      <c r="EM22" s="760" t="e">
        <f t="shared" si="25"/>
        <v>#VALUE!</v>
      </c>
      <c r="EN22" s="760" t="e">
        <f t="shared" si="26"/>
        <v>#VALUE!</v>
      </c>
      <c r="EO22" s="760" t="e">
        <f t="shared" si="27"/>
        <v>#VALUE!</v>
      </c>
      <c r="EP22" s="803" t="e">
        <f t="shared" si="28"/>
        <v>#VALUE!</v>
      </c>
      <c r="EQ22" s="760" t="e">
        <f t="shared" si="29"/>
        <v>#VALUE!</v>
      </c>
      <c r="ER22" s="760" t="e">
        <f t="shared" si="30"/>
        <v>#VALUE!</v>
      </c>
      <c r="ES22" s="760" t="e">
        <f t="shared" si="31"/>
        <v>#VALUE!</v>
      </c>
      <c r="ET22" s="760" t="e">
        <f t="shared" si="32"/>
        <v>#VALUE!</v>
      </c>
    </row>
    <row r="23" spans="1:150" ht="15" customHeight="1">
      <c r="A23" s="1424" t="str">
        <f t="shared" si="6"/>
        <v/>
      </c>
      <c r="B23" s="1425"/>
      <c r="C23" s="1425"/>
      <c r="D23" s="1425"/>
      <c r="E23" s="1426" t="str">
        <f t="shared" si="7"/>
        <v/>
      </c>
      <c r="F23" s="1426"/>
      <c r="G23" s="1426"/>
      <c r="H23" s="1427"/>
      <c r="I23" s="1428" t="str">
        <f t="shared" si="8"/>
        <v/>
      </c>
      <c r="J23" s="1429"/>
      <c r="K23" s="1429"/>
      <c r="L23" s="1429"/>
      <c r="M23" s="1429"/>
      <c r="N23" s="1429"/>
      <c r="O23" s="1429"/>
      <c r="P23" s="1430"/>
      <c r="Q23" s="1431" t="str">
        <f t="shared" si="9"/>
        <v/>
      </c>
      <c r="R23" s="1431"/>
      <c r="S23" s="1431"/>
      <c r="T23" s="1431"/>
      <c r="U23" s="1421" t="str">
        <f t="shared" si="16"/>
        <v/>
      </c>
      <c r="V23" s="1422"/>
      <c r="W23" s="1422"/>
      <c r="X23" s="1423"/>
      <c r="Y23" s="1421" t="str">
        <f t="shared" si="17"/>
        <v/>
      </c>
      <c r="Z23" s="1422"/>
      <c r="AA23" s="1422"/>
      <c r="AB23" s="1422"/>
      <c r="AC23" s="1421" t="str">
        <f t="shared" si="18"/>
        <v/>
      </c>
      <c r="AD23" s="1422"/>
      <c r="AE23" s="1422"/>
      <c r="AF23" s="1423"/>
      <c r="AG23" s="1407" t="str">
        <f t="shared" si="10"/>
        <v/>
      </c>
      <c r="AH23" s="1407"/>
      <c r="AI23" s="1407"/>
      <c r="AJ23" s="1408"/>
      <c r="AK23" s="1409" t="str">
        <f t="shared" si="11"/>
        <v/>
      </c>
      <c r="AL23" s="1407"/>
      <c r="AM23" s="1407"/>
      <c r="AN23" s="1408"/>
      <c r="AO23" s="827"/>
      <c r="AP23" s="265">
        <v>10</v>
      </c>
      <c r="AQ23" s="656"/>
      <c r="AR23" s="657"/>
      <c r="AS23" s="657"/>
      <c r="AT23" s="657"/>
      <c r="AU23" s="657"/>
      <c r="AV23" s="657"/>
      <c r="AW23" s="657"/>
      <c r="AX23" s="657"/>
      <c r="AY23" s="657"/>
      <c r="AZ23" s="657">
        <v>7.4999999999999997E-2</v>
      </c>
      <c r="BA23" s="657"/>
      <c r="BB23" s="657"/>
      <c r="BC23" s="657"/>
      <c r="BD23" s="657"/>
      <c r="BE23" s="657"/>
      <c r="BF23" s="657"/>
      <c r="BG23" s="679"/>
      <c r="BH23" s="657"/>
      <c r="BI23" s="657"/>
      <c r="BJ23" s="657"/>
      <c r="BK23" s="657"/>
      <c r="BL23" s="657"/>
      <c r="BM23" s="657"/>
      <c r="BN23" s="657"/>
      <c r="BO23" s="657"/>
      <c r="BP23" s="657"/>
      <c r="BQ23" s="680"/>
      <c r="BR23" s="266"/>
      <c r="BS23" s="692"/>
      <c r="BT23" s="695"/>
      <c r="BU23" s="695"/>
      <c r="BV23" s="695"/>
      <c r="BW23" s="675"/>
      <c r="BX23" s="675"/>
      <c r="BY23" s="675"/>
      <c r="BZ23" s="675"/>
      <c r="CA23" s="675"/>
      <c r="CB23" s="874" t="s">
        <v>423</v>
      </c>
      <c r="CC23" s="873"/>
      <c r="CD23" s="873">
        <v>0</v>
      </c>
      <c r="CE23" s="760"/>
      <c r="CF23" s="760"/>
      <c r="CG23" s="873"/>
      <c r="CH23" s="873"/>
      <c r="CI23" s="668"/>
      <c r="CJ23" s="675"/>
      <c r="CK23" s="231"/>
      <c r="CL23" s="675"/>
      <c r="CM23" s="675"/>
      <c r="CN23" s="675"/>
      <c r="CO23" s="675"/>
      <c r="CP23" s="675"/>
      <c r="CQ23" s="675"/>
      <c r="CR23" s="675"/>
      <c r="CS23" s="675"/>
      <c r="CT23" s="692"/>
      <c r="CU23" s="676"/>
      <c r="CV23" s="675"/>
      <c r="CW23" s="676"/>
      <c r="CX23" s="675"/>
      <c r="CY23" s="675"/>
      <c r="CZ23" s="675"/>
      <c r="DA23" s="675"/>
      <c r="DB23" s="675"/>
      <c r="DC23" s="873">
        <v>3</v>
      </c>
      <c r="DH23" s="873"/>
      <c r="DI23" s="873"/>
      <c r="DJ23" s="675"/>
      <c r="DK23" s="670"/>
      <c r="DL23" s="670"/>
      <c r="DM23" s="670"/>
      <c r="DN23" s="675"/>
      <c r="DO23" s="675"/>
      <c r="DP23" s="675"/>
      <c r="DQ23" s="675"/>
      <c r="DR23" s="675"/>
      <c r="DS23" s="675"/>
      <c r="DT23" s="691"/>
      <c r="DW23" s="801" t="e">
        <f t="shared" si="0"/>
        <v>#VALUE!</v>
      </c>
      <c r="DX23" s="801" t="e">
        <f t="shared" si="1"/>
        <v>#VALUE!</v>
      </c>
      <c r="DY23" s="802" t="e">
        <f t="shared" si="2"/>
        <v>#VALUE!</v>
      </c>
      <c r="DZ23" s="801" t="e">
        <f t="shared" si="12"/>
        <v>#VALUE!</v>
      </c>
      <c r="EA23" s="801" t="e">
        <f t="shared" si="13"/>
        <v>#VALUE!</v>
      </c>
      <c r="EB23" s="801" t="e">
        <f t="shared" si="3"/>
        <v>#VALUE!</v>
      </c>
      <c r="EC23" s="760" t="e">
        <f t="shared" si="4"/>
        <v>#VALUE!</v>
      </c>
      <c r="ED23" s="803" t="e">
        <f t="shared" si="5"/>
        <v>#VALUE!</v>
      </c>
      <c r="EE23" s="801" t="e">
        <f t="shared" si="14"/>
        <v>#VALUE!</v>
      </c>
      <c r="EF23" s="801" t="e">
        <f t="shared" si="15"/>
        <v>#VALUE!</v>
      </c>
      <c r="EG23" s="760" t="e">
        <f t="shared" si="19"/>
        <v>#VALUE!</v>
      </c>
      <c r="EH23" s="760" t="e">
        <f t="shared" si="20"/>
        <v>#VALUE!</v>
      </c>
      <c r="EI23" s="803" t="e">
        <f t="shared" si="21"/>
        <v>#VALUE!</v>
      </c>
      <c r="EJ23" s="760" t="e">
        <f t="shared" si="22"/>
        <v>#VALUE!</v>
      </c>
      <c r="EK23" s="760" t="e">
        <f t="shared" si="23"/>
        <v>#VALUE!</v>
      </c>
      <c r="EL23" s="760" t="e">
        <f t="shared" si="24"/>
        <v>#VALUE!</v>
      </c>
      <c r="EM23" s="760" t="e">
        <f t="shared" si="25"/>
        <v>#VALUE!</v>
      </c>
      <c r="EN23" s="760" t="e">
        <f t="shared" si="26"/>
        <v>#VALUE!</v>
      </c>
      <c r="EO23" s="760" t="e">
        <f t="shared" si="27"/>
        <v>#VALUE!</v>
      </c>
      <c r="EP23" s="803" t="e">
        <f t="shared" si="28"/>
        <v>#VALUE!</v>
      </c>
      <c r="EQ23" s="760" t="e">
        <f t="shared" si="29"/>
        <v>#VALUE!</v>
      </c>
      <c r="ER23" s="760" t="e">
        <f t="shared" si="30"/>
        <v>#VALUE!</v>
      </c>
      <c r="ES23" s="760" t="e">
        <f t="shared" si="31"/>
        <v>#VALUE!</v>
      </c>
      <c r="ET23" s="760" t="e">
        <f t="shared" si="32"/>
        <v>#VALUE!</v>
      </c>
    </row>
    <row r="24" spans="1:150" ht="15" customHeight="1">
      <c r="A24" s="1424" t="str">
        <f t="shared" si="6"/>
        <v/>
      </c>
      <c r="B24" s="1425"/>
      <c r="C24" s="1425"/>
      <c r="D24" s="1425"/>
      <c r="E24" s="1426" t="str">
        <f t="shared" si="7"/>
        <v/>
      </c>
      <c r="F24" s="1426"/>
      <c r="G24" s="1426"/>
      <c r="H24" s="1427"/>
      <c r="I24" s="1428" t="str">
        <f t="shared" si="8"/>
        <v/>
      </c>
      <c r="J24" s="1429"/>
      <c r="K24" s="1429"/>
      <c r="L24" s="1429"/>
      <c r="M24" s="1429"/>
      <c r="N24" s="1429"/>
      <c r="O24" s="1429"/>
      <c r="P24" s="1430"/>
      <c r="Q24" s="1431" t="str">
        <f t="shared" si="9"/>
        <v/>
      </c>
      <c r="R24" s="1431"/>
      <c r="S24" s="1431"/>
      <c r="T24" s="1431"/>
      <c r="U24" s="1421" t="str">
        <f t="shared" si="16"/>
        <v/>
      </c>
      <c r="V24" s="1422"/>
      <c r="W24" s="1422"/>
      <c r="X24" s="1423"/>
      <c r="Y24" s="1421" t="str">
        <f t="shared" si="17"/>
        <v/>
      </c>
      <c r="Z24" s="1422"/>
      <c r="AA24" s="1422"/>
      <c r="AB24" s="1422"/>
      <c r="AC24" s="1421" t="str">
        <f t="shared" si="18"/>
        <v/>
      </c>
      <c r="AD24" s="1422"/>
      <c r="AE24" s="1422"/>
      <c r="AF24" s="1423"/>
      <c r="AG24" s="1407" t="str">
        <f t="shared" si="10"/>
        <v/>
      </c>
      <c r="AH24" s="1407"/>
      <c r="AI24" s="1407"/>
      <c r="AJ24" s="1408"/>
      <c r="AK24" s="1409" t="str">
        <f t="shared" si="11"/>
        <v/>
      </c>
      <c r="AL24" s="1407"/>
      <c r="AM24" s="1407"/>
      <c r="AN24" s="1408"/>
      <c r="AO24" s="827"/>
      <c r="AP24" s="265">
        <v>11</v>
      </c>
      <c r="AQ24" s="674"/>
      <c r="AR24" s="666"/>
      <c r="AS24" s="666"/>
      <c r="AT24" s="666"/>
      <c r="AU24" s="666"/>
      <c r="AV24" s="666"/>
      <c r="AW24" s="666"/>
      <c r="AX24" s="666"/>
      <c r="AY24" s="666"/>
      <c r="AZ24" s="666"/>
      <c r="BA24" s="666"/>
      <c r="BB24" s="666"/>
      <c r="BC24" s="666"/>
      <c r="BD24" s="666"/>
      <c r="BE24" s="666"/>
      <c r="BF24" s="666"/>
      <c r="BG24" s="679"/>
      <c r="BH24" s="666"/>
      <c r="BI24" s="665"/>
      <c r="BJ24" s="665"/>
      <c r="BK24" s="665"/>
      <c r="BL24" s="665"/>
      <c r="BM24" s="665"/>
      <c r="BN24" s="665"/>
      <c r="BO24" s="665"/>
      <c r="BP24" s="665"/>
      <c r="BQ24" s="682"/>
      <c r="BR24" s="267"/>
      <c r="BS24" s="687"/>
      <c r="BT24" s="675"/>
      <c r="BU24" s="686"/>
      <c r="BV24" s="695"/>
      <c r="BW24" s="686"/>
      <c r="BX24" s="686"/>
      <c r="BY24" s="686"/>
      <c r="BZ24" s="686"/>
      <c r="CA24" s="686"/>
      <c r="CB24" s="760"/>
      <c r="CC24" s="875"/>
      <c r="CD24" s="875"/>
      <c r="CE24" s="760"/>
      <c r="CF24" s="760"/>
      <c r="CG24" s="875"/>
      <c r="CH24" s="875"/>
      <c r="CI24" s="668"/>
      <c r="CJ24" s="231"/>
      <c r="CK24" s="675"/>
      <c r="CL24" s="231"/>
      <c r="CM24" s="685"/>
      <c r="CN24" s="685"/>
      <c r="CO24" s="685"/>
      <c r="CP24" s="685"/>
      <c r="CQ24" s="685"/>
      <c r="CR24" s="685"/>
      <c r="CS24" s="685"/>
      <c r="CT24" s="692"/>
      <c r="CU24" s="676"/>
      <c r="CV24" s="676"/>
      <c r="CW24" s="676"/>
      <c r="CX24" s="675"/>
      <c r="CY24" s="675"/>
      <c r="CZ24" s="675"/>
      <c r="DA24" s="675"/>
      <c r="DB24" s="675"/>
      <c r="DC24" s="698"/>
      <c r="DD24" s="670"/>
      <c r="DE24" s="670"/>
      <c r="DF24" s="670"/>
      <c r="DG24" s="670"/>
      <c r="DH24" s="675"/>
      <c r="DI24" s="675"/>
      <c r="DJ24" s="675"/>
      <c r="DK24" s="675"/>
      <c r="DL24" s="675"/>
      <c r="DM24" s="675"/>
      <c r="DN24" s="675"/>
      <c r="DO24" s="675"/>
      <c r="DP24" s="675"/>
      <c r="DQ24" s="675"/>
      <c r="DR24" s="675"/>
      <c r="DS24" s="675"/>
      <c r="DT24" s="691"/>
      <c r="DW24" s="801" t="e">
        <f t="shared" si="0"/>
        <v>#VALUE!</v>
      </c>
      <c r="DX24" s="801" t="e">
        <f t="shared" si="1"/>
        <v>#VALUE!</v>
      </c>
      <c r="DY24" s="802" t="e">
        <f t="shared" si="2"/>
        <v>#VALUE!</v>
      </c>
      <c r="DZ24" s="801" t="e">
        <f t="shared" si="12"/>
        <v>#VALUE!</v>
      </c>
      <c r="EA24" s="801" t="e">
        <f t="shared" si="13"/>
        <v>#VALUE!</v>
      </c>
      <c r="EB24" s="801" t="e">
        <f t="shared" si="3"/>
        <v>#VALUE!</v>
      </c>
      <c r="EC24" s="760" t="e">
        <f t="shared" si="4"/>
        <v>#VALUE!</v>
      </c>
      <c r="ED24" s="803" t="e">
        <f t="shared" si="5"/>
        <v>#VALUE!</v>
      </c>
      <c r="EE24" s="801" t="e">
        <f t="shared" si="14"/>
        <v>#VALUE!</v>
      </c>
      <c r="EF24" s="801" t="e">
        <f t="shared" si="15"/>
        <v>#VALUE!</v>
      </c>
      <c r="EG24" s="760" t="e">
        <f t="shared" si="19"/>
        <v>#VALUE!</v>
      </c>
      <c r="EH24" s="760" t="e">
        <f t="shared" si="20"/>
        <v>#VALUE!</v>
      </c>
      <c r="EI24" s="804" t="e">
        <f t="shared" si="21"/>
        <v>#VALUE!</v>
      </c>
      <c r="EJ24" s="760" t="e">
        <f t="shared" si="22"/>
        <v>#VALUE!</v>
      </c>
      <c r="EK24" s="760" t="e">
        <f t="shared" si="23"/>
        <v>#VALUE!</v>
      </c>
      <c r="EL24" s="760" t="e">
        <f t="shared" si="24"/>
        <v>#VALUE!</v>
      </c>
      <c r="EM24" s="760" t="e">
        <f t="shared" si="25"/>
        <v>#VALUE!</v>
      </c>
      <c r="EN24" s="760" t="e">
        <f t="shared" si="26"/>
        <v>#VALUE!</v>
      </c>
      <c r="EO24" s="760" t="e">
        <f t="shared" si="27"/>
        <v>#VALUE!</v>
      </c>
      <c r="EP24" s="803" t="e">
        <f t="shared" si="28"/>
        <v>#VALUE!</v>
      </c>
      <c r="EQ24" s="760" t="e">
        <f t="shared" si="29"/>
        <v>#VALUE!</v>
      </c>
      <c r="ER24" s="760" t="e">
        <f t="shared" si="30"/>
        <v>#VALUE!</v>
      </c>
      <c r="ES24" s="760" t="e">
        <f t="shared" si="31"/>
        <v>#VALUE!</v>
      </c>
      <c r="ET24" s="760" t="e">
        <f t="shared" si="32"/>
        <v>#VALUE!</v>
      </c>
    </row>
    <row r="25" spans="1:150" ht="14.1" customHeight="1">
      <c r="A25" s="1410" t="str">
        <f>+IF(AF7="","","Pasa")</f>
        <v/>
      </c>
      <c r="B25" s="1411"/>
      <c r="C25" s="1411"/>
      <c r="D25" s="1411"/>
      <c r="E25" s="1412" t="str">
        <f>+IF(A25="","","N° 200")</f>
        <v/>
      </c>
      <c r="F25" s="1412"/>
      <c r="G25" s="1412"/>
      <c r="H25" s="1413"/>
      <c r="I25" s="1414" t="str">
        <f t="shared" si="8"/>
        <v/>
      </c>
      <c r="J25" s="1415"/>
      <c r="K25" s="1415"/>
      <c r="L25" s="1415"/>
      <c r="M25" s="1415"/>
      <c r="N25" s="1415"/>
      <c r="O25" s="1415"/>
      <c r="P25" s="1416"/>
      <c r="Q25" s="1417" t="str">
        <f t="shared" si="9"/>
        <v/>
      </c>
      <c r="R25" s="1417"/>
      <c r="S25" s="1417"/>
      <c r="T25" s="1417"/>
      <c r="U25" s="1418" t="str">
        <f>IF($I$12="","",IF(OR(Q25=0,Q25=""),"",IF(OR(U24=0,U24=""),VLOOKUP("N° 200",E15:X24,17,FALSE),U24-Q25)))</f>
        <v/>
      </c>
      <c r="V25" s="1419"/>
      <c r="W25" s="1419"/>
      <c r="X25" s="1420"/>
      <c r="Y25" s="1418" t="str">
        <f t="shared" si="17"/>
        <v/>
      </c>
      <c r="Z25" s="1419"/>
      <c r="AA25" s="1419"/>
      <c r="AB25" s="1419"/>
      <c r="AC25" s="1418" t="str">
        <f>IF(OR(Q25=0,Q25=""),"",IF(AND(E25="N° 200",ER24&lt;0.05),EP24+EN24,IF(AND(E25="N° 200",ER24&gt;0.05),EP24+EN24+0.1,IF(AND(E25="N° 200",ER24=0),ES24,IF(EB24&lt;0.5,ED24,IF(EB24&gt;0.5,ED24+1,EF24))))))</f>
        <v/>
      </c>
      <c r="AD25" s="1419"/>
      <c r="AE25" s="1419"/>
      <c r="AF25" s="1420"/>
      <c r="AG25" s="1401" t="str">
        <f t="shared" si="10"/>
        <v/>
      </c>
      <c r="AH25" s="1401"/>
      <c r="AI25" s="1401"/>
      <c r="AJ25" s="1402"/>
      <c r="AK25" s="1400" t="str">
        <f t="shared" si="11"/>
        <v/>
      </c>
      <c r="AL25" s="1401"/>
      <c r="AM25" s="1401"/>
      <c r="AN25" s="1402"/>
      <c r="AO25" s="827"/>
      <c r="AP25" s="265">
        <v>12</v>
      </c>
      <c r="AQ25" s="656"/>
      <c r="AR25" s="657"/>
      <c r="AS25" s="657"/>
      <c r="AT25" s="657"/>
      <c r="AU25" s="657"/>
      <c r="AV25" s="657"/>
      <c r="AW25" s="657"/>
      <c r="AX25" s="657"/>
      <c r="AY25" s="657"/>
      <c r="AZ25" s="657"/>
      <c r="BA25" s="667"/>
      <c r="BB25" s="657"/>
      <c r="BC25" s="657"/>
      <c r="BD25" s="657"/>
      <c r="BE25" s="657"/>
      <c r="BF25" s="657"/>
      <c r="BG25" s="679"/>
      <c r="BH25" s="657"/>
      <c r="BI25" s="657"/>
      <c r="BJ25" s="657"/>
      <c r="BK25" s="657"/>
      <c r="BL25" s="657"/>
      <c r="BM25" s="657"/>
      <c r="BN25" s="657"/>
      <c r="BO25" s="657"/>
      <c r="BP25" s="657"/>
      <c r="BQ25" s="680"/>
      <c r="BR25" s="266"/>
      <c r="BS25" s="692"/>
      <c r="BT25" s="675"/>
      <c r="BU25" s="695"/>
      <c r="BV25" s="695"/>
      <c r="BW25" s="675"/>
      <c r="BX25" s="675"/>
      <c r="BY25" s="675"/>
      <c r="BZ25" s="675"/>
      <c r="CA25" s="675"/>
      <c r="CB25" s="695"/>
      <c r="CC25" s="694"/>
      <c r="CD25" s="675">
        <v>0</v>
      </c>
      <c r="CE25" s="695"/>
      <c r="CF25" s="695"/>
      <c r="CG25" s="675"/>
      <c r="CH25" s="675"/>
      <c r="CI25" s="668"/>
      <c r="CJ25" s="675"/>
      <c r="CK25" s="231"/>
      <c r="CL25" s="675"/>
      <c r="CM25" s="675"/>
      <c r="CN25" s="675"/>
      <c r="CO25" s="675"/>
      <c r="CP25" s="675"/>
      <c r="CQ25" s="675"/>
      <c r="CR25" s="675"/>
      <c r="CS25" s="675"/>
      <c r="CT25" s="692"/>
      <c r="CU25" s="676"/>
      <c r="CV25" s="676"/>
      <c r="CW25" s="676"/>
      <c r="CX25" s="675"/>
      <c r="CY25" s="675"/>
      <c r="CZ25" s="675"/>
      <c r="DA25" s="675"/>
      <c r="DB25" s="675"/>
      <c r="DC25" s="675"/>
      <c r="DD25" s="670"/>
      <c r="DE25" s="670"/>
      <c r="DF25" s="670"/>
      <c r="DG25" s="670"/>
      <c r="DH25" s="675"/>
      <c r="DI25" s="675"/>
      <c r="DJ25" s="675"/>
      <c r="DK25" s="670"/>
      <c r="DL25" s="670"/>
      <c r="DM25" s="675"/>
      <c r="DN25" s="675"/>
      <c r="DO25" s="675"/>
      <c r="DP25" s="675"/>
      <c r="DQ25" s="675"/>
      <c r="DR25" s="675"/>
      <c r="DS25" s="675"/>
      <c r="DT25" s="691"/>
    </row>
    <row r="26" spans="1:150" ht="14.1" customHeight="1">
      <c r="A26" s="1403"/>
      <c r="B26" s="1404"/>
      <c r="C26" s="1404"/>
      <c r="D26" s="1404"/>
      <c r="E26" s="250"/>
      <c r="F26" s="250"/>
      <c r="G26" s="1405"/>
      <c r="H26" s="1405"/>
      <c r="I26" s="251"/>
      <c r="J26" s="251"/>
      <c r="K26" s="1393"/>
      <c r="L26" s="1393"/>
      <c r="M26" s="252"/>
      <c r="N26" s="252"/>
      <c r="O26" s="252"/>
      <c r="P26" s="252"/>
      <c r="Q26" s="795"/>
      <c r="R26" s="795"/>
      <c r="S26" s="795"/>
      <c r="T26" s="796"/>
      <c r="U26" s="1406"/>
      <c r="V26" s="1406"/>
      <c r="W26" s="1406"/>
      <c r="X26" s="796"/>
      <c r="Y26" s="796"/>
      <c r="Z26" s="796"/>
      <c r="AA26" s="796"/>
      <c r="AB26" s="796"/>
      <c r="AC26" s="796"/>
      <c r="AD26" s="796"/>
      <c r="AE26" s="796"/>
      <c r="AF26" s="796"/>
      <c r="AG26" s="1405"/>
      <c r="AH26" s="1405"/>
      <c r="AI26" s="1405"/>
      <c r="AJ26" s="1405"/>
      <c r="AK26" s="1405"/>
      <c r="AL26" s="794"/>
      <c r="AM26" s="253"/>
      <c r="AN26" s="254"/>
      <c r="AO26" s="253"/>
      <c r="AP26" s="265">
        <v>13</v>
      </c>
      <c r="AQ26" s="656"/>
      <c r="AR26" s="657"/>
      <c r="AS26" s="657"/>
      <c r="AT26" s="657"/>
      <c r="AU26" s="657"/>
      <c r="AV26" s="657"/>
      <c r="AW26" s="657"/>
      <c r="AX26" s="657"/>
      <c r="AY26" s="657"/>
      <c r="AZ26" s="657"/>
      <c r="BA26" s="667"/>
      <c r="BB26" s="657"/>
      <c r="BC26" s="657"/>
      <c r="BD26" s="657"/>
      <c r="BE26" s="657"/>
      <c r="BF26" s="657"/>
      <c r="BG26" s="679"/>
      <c r="BH26" s="657"/>
      <c r="BI26" s="657"/>
      <c r="BJ26" s="657"/>
      <c r="BK26" s="657"/>
      <c r="BL26" s="657"/>
      <c r="BM26" s="657"/>
      <c r="BN26" s="657"/>
      <c r="BO26" s="657"/>
      <c r="BP26" s="657"/>
      <c r="BQ26" s="680"/>
      <c r="BR26" s="266"/>
      <c r="BS26" s="692"/>
      <c r="BT26" s="675"/>
      <c r="BU26" s="675"/>
      <c r="BV26" s="695"/>
      <c r="BW26" s="675"/>
      <c r="BX26" s="675"/>
      <c r="BY26" s="675"/>
      <c r="BZ26" s="675"/>
      <c r="CA26" s="675"/>
      <c r="CB26" s="675"/>
      <c r="CC26" s="694"/>
      <c r="CD26" s="675"/>
      <c r="CE26" s="695"/>
      <c r="CF26" s="695"/>
      <c r="CG26" s="675"/>
      <c r="CH26" s="675"/>
      <c r="CI26" s="668"/>
      <c r="CJ26" s="231"/>
      <c r="CK26" s="675"/>
      <c r="CL26" s="231"/>
      <c r="CM26" s="675"/>
      <c r="CN26" s="675"/>
      <c r="CO26" s="675"/>
      <c r="CP26" s="675"/>
      <c r="CQ26" s="675"/>
      <c r="CR26" s="675"/>
      <c r="CS26" s="675"/>
      <c r="CT26" s="697"/>
      <c r="CU26" s="676"/>
      <c r="CV26" s="676"/>
      <c r="CW26" s="676"/>
      <c r="CX26" s="675"/>
      <c r="CY26" s="675"/>
      <c r="CZ26" s="675"/>
      <c r="DA26" s="675"/>
      <c r="DB26" s="675"/>
      <c r="DC26" s="698"/>
      <c r="DD26" s="670"/>
      <c r="DE26" s="670"/>
      <c r="DF26" s="670"/>
      <c r="DG26" s="670"/>
      <c r="DH26" s="675"/>
      <c r="DI26" s="675"/>
      <c r="DJ26" s="675"/>
      <c r="DK26" s="675"/>
      <c r="DL26" s="675"/>
      <c r="DM26" s="675"/>
      <c r="DN26" s="675"/>
      <c r="DO26" s="675"/>
      <c r="DP26" s="675"/>
      <c r="DQ26" s="675"/>
      <c r="DR26" s="675"/>
      <c r="DS26" s="675"/>
      <c r="DT26" s="691"/>
    </row>
    <row r="27" spans="1:150" ht="14.1" customHeight="1">
      <c r="A27" s="244"/>
      <c r="B27" s="245"/>
      <c r="C27" s="245"/>
      <c r="D27" s="245"/>
      <c r="E27" s="245"/>
      <c r="F27" s="245"/>
      <c r="G27" s="245"/>
      <c r="H27" s="245"/>
      <c r="I27" s="245"/>
      <c r="J27" s="245"/>
      <c r="K27" s="245"/>
      <c r="L27" s="246"/>
      <c r="M27" s="245"/>
      <c r="N27" s="245"/>
      <c r="O27" s="245"/>
      <c r="P27" s="245"/>
      <c r="Q27" s="1393"/>
      <c r="R27" s="1393"/>
      <c r="S27" s="1393"/>
      <c r="T27" s="1393"/>
      <c r="U27" s="245"/>
      <c r="V27" s="245"/>
      <c r="W27" s="245"/>
      <c r="X27" s="245"/>
      <c r="Y27" s="245"/>
      <c r="Z27" s="245"/>
      <c r="AA27" s="245"/>
      <c r="AB27" s="245"/>
      <c r="AC27" s="245"/>
      <c r="AD27" s="245"/>
      <c r="AE27" s="245"/>
      <c r="AF27" s="245"/>
      <c r="AG27" s="245" t="e">
        <f>IF(#REF!=#REF!,45,IF(#REF!=#REF!,50,IF(#REF!=#REF!,40,IF(#REF!=#REF!,45,0))))+IF(#REF!=#REF!,40,IF(#REF!=#REF!,50,IF(#REF!=#REF!,36,IF(#REF!=460,IF(#REF!=#REF!,65,IF(#REF!=BT13,40,IF(#REF!=#REF!,45,IF(#REF!=#REF!,45,IF(#REF!=#REF!,50,#REF!))))))+IF(#REF!=#REF!,0,IF(#REF!=#REF!,0,IF(#REF!=#REF!,0,IF(#REF!=#REF!,0,#REF!))))+IF(#REF!=#REF!,0,IF(#REF!=#REF!,100,IF(#REF!=#REF!,0,#REF!)))+IF(#REF!=#REF!,0,IF(#REF!=#REF!,0,IF(#REF!=#REF!,45,#REF!))))))</f>
        <v>#REF!</v>
      </c>
      <c r="AH27" s="245"/>
      <c r="AI27" s="245"/>
      <c r="AJ27" s="245"/>
      <c r="AK27" s="245"/>
      <c r="AL27" s="245"/>
      <c r="AM27" s="245"/>
      <c r="AN27" s="247"/>
      <c r="AO27" s="245"/>
      <c r="AP27" s="265">
        <v>14</v>
      </c>
      <c r="AQ27" s="656"/>
      <c r="AR27" s="657"/>
      <c r="AS27" s="657"/>
      <c r="AT27" s="657"/>
      <c r="AU27" s="657"/>
      <c r="AV27" s="657"/>
      <c r="AW27" s="657"/>
      <c r="AX27" s="657"/>
      <c r="AY27" s="657"/>
      <c r="AZ27" s="657"/>
      <c r="BA27" s="657"/>
      <c r="BB27" s="657"/>
      <c r="BC27" s="657"/>
      <c r="BD27" s="657"/>
      <c r="BE27" s="657"/>
      <c r="BF27" s="657"/>
      <c r="BG27" s="679"/>
      <c r="BH27" s="657"/>
      <c r="BI27" s="657"/>
      <c r="BJ27" s="657"/>
      <c r="BK27" s="657"/>
      <c r="BL27" s="657"/>
      <c r="BM27" s="657"/>
      <c r="BN27" s="657"/>
      <c r="BO27" s="657"/>
      <c r="BP27" s="657"/>
      <c r="BQ27" s="680"/>
      <c r="BR27" s="266"/>
      <c r="BS27" s="692"/>
      <c r="BT27" s="695"/>
      <c r="BU27" s="675"/>
      <c r="BV27" s="695"/>
      <c r="BW27" s="675"/>
      <c r="BX27" s="675"/>
      <c r="BY27" s="675"/>
      <c r="BZ27" s="675"/>
      <c r="CA27" s="675"/>
      <c r="CB27" s="675"/>
      <c r="CC27" s="675"/>
      <c r="CD27" s="675"/>
      <c r="CE27" s="695"/>
      <c r="CF27" s="695"/>
      <c r="CG27" s="675"/>
      <c r="CH27" s="675"/>
      <c r="CI27" s="668"/>
      <c r="CJ27" s="231"/>
      <c r="CK27" s="231"/>
      <c r="CL27" s="675"/>
      <c r="CM27" s="675"/>
      <c r="CN27" s="675"/>
      <c r="CO27" s="675"/>
      <c r="CP27" s="675"/>
      <c r="CQ27" s="675"/>
      <c r="CR27" s="675"/>
      <c r="CS27" s="675"/>
      <c r="CT27" s="697"/>
      <c r="CU27" s="676"/>
      <c r="CV27" s="676"/>
      <c r="CW27" s="676"/>
      <c r="CX27" s="675"/>
      <c r="CY27" s="675"/>
      <c r="CZ27" s="675"/>
      <c r="DA27" s="675"/>
      <c r="DB27" s="675"/>
      <c r="DC27" s="675"/>
      <c r="DD27" s="670"/>
      <c r="DE27" s="670"/>
      <c r="DF27" s="670"/>
      <c r="DG27" s="670"/>
      <c r="DH27" s="675"/>
      <c r="DI27" s="675"/>
      <c r="DJ27" s="675"/>
      <c r="DK27" s="675"/>
      <c r="DL27" s="675"/>
      <c r="DM27" s="675"/>
      <c r="DN27" s="675"/>
      <c r="DO27" s="675"/>
      <c r="DP27" s="675"/>
      <c r="DQ27" s="675"/>
      <c r="DR27" s="675"/>
      <c r="DS27" s="675"/>
      <c r="DT27" s="691"/>
    </row>
    <row r="28" spans="1:150" ht="14.1" customHeight="1">
      <c r="A28" s="244"/>
      <c r="B28" s="245"/>
      <c r="C28" s="245"/>
      <c r="D28" s="245"/>
      <c r="E28" s="245"/>
      <c r="F28" s="245"/>
      <c r="G28" s="245"/>
      <c r="H28" s="245"/>
      <c r="I28" s="245"/>
      <c r="J28" s="245"/>
      <c r="K28" s="245"/>
      <c r="L28" s="246"/>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7"/>
      <c r="AO28" s="245"/>
      <c r="AP28" s="265">
        <v>15</v>
      </c>
      <c r="AQ28" s="656"/>
      <c r="AR28" s="657"/>
      <c r="AS28" s="657"/>
      <c r="AT28" s="657"/>
      <c r="AU28" s="657"/>
      <c r="AV28" s="657"/>
      <c r="AW28" s="657"/>
      <c r="AX28" s="657"/>
      <c r="AY28" s="657"/>
      <c r="AZ28" s="657"/>
      <c r="BA28" s="657"/>
      <c r="BB28" s="657"/>
      <c r="BC28" s="657"/>
      <c r="BD28" s="657"/>
      <c r="BE28" s="657"/>
      <c r="BF28" s="657"/>
      <c r="BG28" s="679"/>
      <c r="BH28" s="657"/>
      <c r="BI28" s="657"/>
      <c r="BJ28" s="657"/>
      <c r="BK28" s="657"/>
      <c r="BL28" s="657"/>
      <c r="BM28" s="657"/>
      <c r="BN28" s="657"/>
      <c r="BO28" s="657"/>
      <c r="BP28" s="657"/>
      <c r="BQ28" s="680"/>
      <c r="BR28" s="266"/>
      <c r="BS28" s="692"/>
      <c r="BT28" s="695"/>
      <c r="BU28" s="695"/>
      <c r="BV28" s="695"/>
      <c r="BW28" s="675"/>
      <c r="BX28" s="675"/>
      <c r="BY28" s="675"/>
      <c r="BZ28" s="675"/>
      <c r="CA28" s="675"/>
      <c r="CB28" s="675">
        <v>0</v>
      </c>
      <c r="CC28" s="675">
        <v>0</v>
      </c>
      <c r="CD28" s="675">
        <v>0</v>
      </c>
      <c r="CE28" s="695"/>
      <c r="CF28" s="695"/>
      <c r="CG28" s="675"/>
      <c r="CH28" s="675"/>
      <c r="CI28" s="668"/>
      <c r="CJ28" s="231"/>
      <c r="CK28" s="231"/>
      <c r="CL28" s="231"/>
      <c r="CM28" s="675"/>
      <c r="CN28" s="675"/>
      <c r="CO28" s="675"/>
      <c r="CP28" s="675"/>
      <c r="CQ28" s="675"/>
      <c r="CR28" s="675"/>
      <c r="CS28" s="675"/>
      <c r="CT28" s="697"/>
      <c r="CU28" s="676"/>
      <c r="CV28" s="676"/>
      <c r="CW28" s="676"/>
      <c r="CX28" s="675"/>
      <c r="CY28" s="675"/>
      <c r="CZ28" s="675"/>
      <c r="DA28" s="675"/>
      <c r="DB28" s="675"/>
      <c r="DC28" s="698"/>
      <c r="DD28" s="670"/>
      <c r="DE28" s="670"/>
      <c r="DF28" s="670"/>
      <c r="DG28" s="670"/>
      <c r="DH28" s="675"/>
      <c r="DI28" s="675"/>
      <c r="DJ28" s="675"/>
      <c r="DK28" s="670"/>
      <c r="DL28" s="670"/>
      <c r="DM28" s="670"/>
      <c r="DN28" s="675"/>
      <c r="DO28" s="675"/>
      <c r="DP28" s="675"/>
      <c r="DQ28" s="675"/>
      <c r="DR28" s="675"/>
      <c r="DS28" s="675"/>
      <c r="DT28" s="691"/>
    </row>
    <row r="29" spans="1:150" ht="14.1" customHeight="1">
      <c r="A29" s="244"/>
      <c r="B29" s="245"/>
      <c r="C29" s="245"/>
      <c r="D29" s="245"/>
      <c r="E29" s="245"/>
      <c r="F29" s="245"/>
      <c r="G29" s="245"/>
      <c r="H29" s="245"/>
      <c r="I29" s="245"/>
      <c r="J29" s="245"/>
      <c r="K29" s="245"/>
      <c r="L29" s="246"/>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7"/>
      <c r="AO29" s="245"/>
      <c r="AP29" s="265">
        <v>16</v>
      </c>
      <c r="AQ29" s="656"/>
      <c r="AR29" s="657"/>
      <c r="AS29" s="657"/>
      <c r="AT29" s="805"/>
      <c r="AU29" s="657"/>
      <c r="AV29" s="657"/>
      <c r="AW29" s="657"/>
      <c r="AX29" s="657"/>
      <c r="AY29" s="657"/>
      <c r="AZ29" s="657"/>
      <c r="BA29" s="657"/>
      <c r="BB29" s="657"/>
      <c r="BC29" s="657"/>
      <c r="BD29" s="657"/>
      <c r="BE29" s="657"/>
      <c r="BF29" s="657"/>
      <c r="BG29" s="679"/>
      <c r="BH29" s="657"/>
      <c r="BI29" s="657"/>
      <c r="BJ29" s="657"/>
      <c r="BK29" s="657"/>
      <c r="BL29" s="657"/>
      <c r="BM29" s="657"/>
      <c r="BN29" s="657"/>
      <c r="BO29" s="657"/>
      <c r="BP29" s="657"/>
      <c r="BQ29" s="680"/>
      <c r="BR29" s="266"/>
      <c r="BS29" s="692"/>
      <c r="BT29" s="695"/>
      <c r="BU29" s="675"/>
      <c r="BV29" s="675"/>
      <c r="BW29" s="675"/>
      <c r="BX29" s="675"/>
      <c r="BY29" s="675"/>
      <c r="BZ29" s="675"/>
      <c r="CA29" s="675"/>
      <c r="CB29" s="675"/>
      <c r="CC29" s="675"/>
      <c r="CD29" s="675"/>
      <c r="CE29" s="695"/>
      <c r="CF29" s="695"/>
      <c r="CG29" s="675"/>
      <c r="CH29" s="675"/>
      <c r="CI29" s="668"/>
      <c r="CJ29" s="231"/>
      <c r="CK29" s="231"/>
      <c r="CL29" s="231"/>
      <c r="CM29" s="675"/>
      <c r="CN29" s="675"/>
      <c r="CO29" s="675"/>
      <c r="CP29" s="675"/>
      <c r="CQ29" s="675"/>
      <c r="CR29" s="675"/>
      <c r="CS29" s="675"/>
      <c r="CT29" s="697"/>
      <c r="CU29" s="676"/>
      <c r="CV29" s="676"/>
      <c r="CW29" s="676"/>
      <c r="CX29" s="675"/>
      <c r="CY29" s="675"/>
      <c r="CZ29" s="675"/>
      <c r="DA29" s="675"/>
      <c r="DB29" s="675"/>
      <c r="DC29" s="698"/>
      <c r="DD29" s="670"/>
      <c r="DE29" s="670"/>
      <c r="DF29" s="670"/>
      <c r="DG29" s="670"/>
      <c r="DH29" s="675"/>
      <c r="DI29" s="675"/>
      <c r="DJ29" s="675"/>
      <c r="DK29" s="675"/>
      <c r="DL29" s="675"/>
      <c r="DM29" s="675"/>
      <c r="DN29" s="675"/>
      <c r="DO29" s="675"/>
      <c r="DP29" s="675"/>
      <c r="DQ29" s="675"/>
      <c r="DR29" s="675"/>
      <c r="DS29" s="675"/>
      <c r="DT29" s="691"/>
    </row>
    <row r="30" spans="1:150" ht="14.1" customHeight="1">
      <c r="A30" s="244"/>
      <c r="B30" s="245"/>
      <c r="C30" s="245"/>
      <c r="D30" s="245"/>
      <c r="E30" s="245"/>
      <c r="F30" s="245"/>
      <c r="G30" s="245"/>
      <c r="H30" s="245"/>
      <c r="I30" s="245"/>
      <c r="J30" s="245"/>
      <c r="K30" s="245"/>
      <c r="L30" s="246"/>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45"/>
      <c r="AL30" s="245"/>
      <c r="AM30" s="245"/>
      <c r="AN30" s="247"/>
      <c r="AO30" s="245"/>
      <c r="AP30" s="265">
        <v>17</v>
      </c>
      <c r="AQ30" s="656"/>
      <c r="AR30" s="657"/>
      <c r="AS30" s="657"/>
      <c r="AT30" s="657"/>
      <c r="AU30" s="657"/>
      <c r="AV30" s="657"/>
      <c r="AW30" s="657"/>
      <c r="AX30" s="657"/>
      <c r="AY30" s="657"/>
      <c r="AZ30" s="657"/>
      <c r="BA30" s="657"/>
      <c r="BB30" s="657"/>
      <c r="BC30" s="657"/>
      <c r="BD30" s="657"/>
      <c r="BE30" s="657"/>
      <c r="BF30" s="657"/>
      <c r="BG30" s="679"/>
      <c r="BH30" s="657"/>
      <c r="BI30" s="657"/>
      <c r="BJ30" s="657"/>
      <c r="BK30" s="657"/>
      <c r="BL30" s="657"/>
      <c r="BM30" s="657"/>
      <c r="BN30" s="657"/>
      <c r="BO30" s="657"/>
      <c r="BP30" s="657"/>
      <c r="BQ30" s="680"/>
      <c r="BR30" s="266"/>
      <c r="BS30" s="692"/>
      <c r="BT30" s="695"/>
      <c r="BU30" s="675"/>
      <c r="BV30" s="675"/>
      <c r="BW30" s="675"/>
      <c r="BX30" s="675"/>
      <c r="BY30" s="675"/>
      <c r="BZ30" s="675"/>
      <c r="CA30" s="675"/>
      <c r="CB30" s="675">
        <v>0</v>
      </c>
      <c r="CC30" s="675">
        <v>0</v>
      </c>
      <c r="CD30" s="675">
        <v>0</v>
      </c>
      <c r="CE30" s="695"/>
      <c r="CF30" s="695"/>
      <c r="CG30" s="675"/>
      <c r="CH30" s="675"/>
      <c r="CI30" s="668"/>
      <c r="CJ30" s="231"/>
      <c r="CK30" s="231"/>
      <c r="CL30" s="231"/>
      <c r="CM30" s="675"/>
      <c r="CN30" s="675"/>
      <c r="CO30" s="675"/>
      <c r="CP30" s="675"/>
      <c r="CQ30" s="675"/>
      <c r="CR30" s="675"/>
      <c r="CS30" s="675"/>
      <c r="CT30" s="697"/>
      <c r="CU30" s="676"/>
      <c r="CV30" s="676"/>
      <c r="CW30" s="676"/>
      <c r="CX30" s="675"/>
      <c r="CY30" s="675"/>
      <c r="CZ30" s="675"/>
      <c r="DA30" s="675"/>
      <c r="DB30" s="675"/>
      <c r="DC30" s="698"/>
      <c r="DD30" s="698"/>
      <c r="DE30" s="698"/>
      <c r="DF30" s="670"/>
      <c r="DG30" s="670"/>
      <c r="DH30" s="675"/>
      <c r="DI30" s="675"/>
      <c r="DJ30" s="675"/>
      <c r="DK30" s="670"/>
      <c r="DL30" s="670"/>
      <c r="DM30" s="670"/>
      <c r="DN30" s="675"/>
      <c r="DO30" s="675"/>
      <c r="DP30" s="675"/>
      <c r="DQ30" s="675"/>
      <c r="DR30" s="675"/>
      <c r="DS30" s="675"/>
      <c r="DT30" s="691"/>
    </row>
    <row r="31" spans="1:150" ht="14.1" customHeight="1">
      <c r="A31" s="244"/>
      <c r="B31" s="245"/>
      <c r="C31" s="245"/>
      <c r="D31" s="245"/>
      <c r="E31" s="245"/>
      <c r="F31" s="245"/>
      <c r="G31" s="245"/>
      <c r="H31" s="245"/>
      <c r="I31" s="245"/>
      <c r="J31" s="245"/>
      <c r="K31" s="245"/>
      <c r="L31" s="246"/>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7"/>
      <c r="AO31" s="245"/>
      <c r="AP31" s="265">
        <v>17</v>
      </c>
      <c r="AQ31" s="656"/>
      <c r="AR31" s="657"/>
      <c r="AS31" s="657"/>
      <c r="AT31" s="657"/>
      <c r="AU31" s="657"/>
      <c r="AV31" s="657"/>
      <c r="AW31" s="657"/>
      <c r="AX31" s="657"/>
      <c r="AY31" s="657"/>
      <c r="AZ31" s="657"/>
      <c r="BA31" s="657"/>
      <c r="BB31" s="657"/>
      <c r="BC31" s="657"/>
      <c r="BD31" s="657"/>
      <c r="BE31" s="657"/>
      <c r="BF31" s="657"/>
      <c r="BG31" s="679"/>
      <c r="BH31" s="657"/>
      <c r="BI31" s="657"/>
      <c r="BJ31" s="657"/>
      <c r="BK31" s="657"/>
      <c r="BL31" s="657"/>
      <c r="BM31" s="657"/>
      <c r="BN31" s="657"/>
      <c r="BO31" s="657"/>
      <c r="BP31" s="657"/>
      <c r="BQ31" s="680"/>
      <c r="BR31" s="266"/>
      <c r="BS31" s="692"/>
      <c r="BT31" s="695"/>
      <c r="BU31" s="675"/>
      <c r="BV31" s="675"/>
      <c r="BW31" s="675"/>
      <c r="BX31" s="675"/>
      <c r="BY31" s="675"/>
      <c r="BZ31" s="675"/>
      <c r="CA31" s="675"/>
      <c r="CB31" s="675"/>
      <c r="CC31" s="675"/>
      <c r="CD31" s="675"/>
      <c r="CE31" s="695"/>
      <c r="CF31" s="695"/>
      <c r="CG31" s="675"/>
      <c r="CH31" s="675"/>
      <c r="CI31" s="668"/>
      <c r="CJ31" s="231"/>
      <c r="CK31" s="231"/>
      <c r="CL31" s="231"/>
      <c r="CM31" s="675"/>
      <c r="CN31" s="675"/>
      <c r="CO31" s="675"/>
      <c r="CP31" s="675"/>
      <c r="CQ31" s="675"/>
      <c r="CR31" s="675"/>
      <c r="CS31" s="675"/>
      <c r="CT31" s="697"/>
      <c r="CU31" s="676"/>
      <c r="CV31" s="676"/>
      <c r="CW31" s="676"/>
      <c r="CX31" s="675"/>
      <c r="CY31" s="675"/>
      <c r="CZ31" s="675"/>
      <c r="DA31" s="675"/>
      <c r="DB31" s="675"/>
      <c r="DC31" s="698"/>
      <c r="DD31" s="698"/>
      <c r="DE31" s="698"/>
      <c r="DF31" s="670"/>
      <c r="DG31" s="670"/>
      <c r="DH31" s="675"/>
      <c r="DI31" s="675"/>
      <c r="DJ31" s="675"/>
      <c r="DK31" s="675"/>
      <c r="DL31" s="675"/>
      <c r="DM31" s="675"/>
      <c r="DN31" s="675"/>
      <c r="DO31" s="675"/>
      <c r="DP31" s="675"/>
      <c r="DQ31" s="675"/>
      <c r="DR31" s="675"/>
      <c r="DS31" s="675"/>
      <c r="DT31" s="691"/>
    </row>
    <row r="32" spans="1:150" ht="14.1" customHeight="1">
      <c r="A32" s="244"/>
      <c r="B32" s="245"/>
      <c r="C32" s="245"/>
      <c r="D32" s="245"/>
      <c r="E32" s="245"/>
      <c r="F32" s="245"/>
      <c r="G32" s="245"/>
      <c r="H32" s="245"/>
      <c r="I32" s="245"/>
      <c r="J32" s="245"/>
      <c r="K32" s="245"/>
      <c r="L32" s="246"/>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245"/>
      <c r="AL32" s="245"/>
      <c r="AM32" s="245"/>
      <c r="AN32" s="247"/>
      <c r="AO32" s="245"/>
      <c r="AP32" s="265">
        <v>18</v>
      </c>
      <c r="AQ32" s="683"/>
      <c r="AR32" s="714"/>
      <c r="AS32" s="714"/>
      <c r="AT32" s="714"/>
      <c r="AU32" s="714"/>
      <c r="AV32" s="714"/>
      <c r="AW32" s="714"/>
      <c r="AX32" s="714"/>
      <c r="AY32" s="714"/>
      <c r="AZ32" s="714"/>
      <c r="BA32" s="714"/>
      <c r="BB32" s="714"/>
      <c r="BC32" s="714"/>
      <c r="BD32" s="714"/>
      <c r="BE32" s="714"/>
      <c r="BF32" s="714"/>
      <c r="BG32" s="761"/>
      <c r="BH32" s="714"/>
      <c r="BI32" s="714"/>
      <c r="BJ32" s="714"/>
      <c r="BK32" s="714"/>
      <c r="BL32" s="714"/>
      <c r="BM32" s="714"/>
      <c r="BN32" s="714"/>
      <c r="BO32" s="714"/>
      <c r="BP32" s="714"/>
      <c r="BQ32" s="684"/>
      <c r="BR32" s="762"/>
      <c r="BS32" s="696"/>
      <c r="BT32" s="763"/>
      <c r="BU32" s="715">
        <v>0</v>
      </c>
      <c r="BV32" s="715">
        <v>0</v>
      </c>
      <c r="BW32" s="715"/>
      <c r="BX32" s="715"/>
      <c r="BY32" s="715"/>
      <c r="BZ32" s="715"/>
      <c r="CA32" s="715"/>
      <c r="CB32" s="715">
        <v>0</v>
      </c>
      <c r="CC32" s="715">
        <v>0</v>
      </c>
      <c r="CD32" s="715">
        <v>0</v>
      </c>
      <c r="CE32" s="763"/>
      <c r="CF32" s="763"/>
      <c r="CG32" s="715"/>
      <c r="CH32" s="715"/>
      <c r="CI32" s="764"/>
      <c r="CJ32" s="765"/>
      <c r="CK32" s="765"/>
      <c r="CL32" s="765"/>
      <c r="CM32" s="715"/>
      <c r="CN32" s="715"/>
      <c r="CO32" s="715"/>
      <c r="CP32" s="715"/>
      <c r="CQ32" s="715"/>
      <c r="CR32" s="715"/>
      <c r="CS32" s="715"/>
      <c r="CT32" s="699"/>
      <c r="CU32" s="716"/>
      <c r="CV32" s="716"/>
      <c r="CW32" s="716"/>
      <c r="CX32" s="715"/>
      <c r="CY32" s="715"/>
      <c r="CZ32" s="715"/>
      <c r="DA32" s="715"/>
      <c r="DB32" s="715"/>
      <c r="DC32" s="717"/>
      <c r="DD32" s="717"/>
      <c r="DE32" s="717"/>
      <c r="DF32" s="700"/>
      <c r="DG32" s="700"/>
      <c r="DH32" s="715"/>
      <c r="DI32" s="715"/>
      <c r="DJ32" s="715"/>
      <c r="DK32" s="700"/>
      <c r="DL32" s="700"/>
      <c r="DM32" s="700"/>
      <c r="DN32" s="715"/>
      <c r="DO32" s="715"/>
      <c r="DP32" s="715"/>
      <c r="DQ32" s="715"/>
      <c r="DR32" s="715"/>
      <c r="DS32" s="715"/>
      <c r="DT32" s="718"/>
    </row>
    <row r="33" spans="1:124" ht="14.1" customHeight="1">
      <c r="A33" s="244"/>
      <c r="B33" s="245"/>
      <c r="C33" s="245"/>
      <c r="D33" s="245"/>
      <c r="E33" s="245"/>
      <c r="F33" s="245"/>
      <c r="G33" s="245" t="s">
        <v>0</v>
      </c>
      <c r="H33" s="245"/>
      <c r="I33" s="245"/>
      <c r="J33" s="245"/>
      <c r="K33" s="245"/>
      <c r="L33" s="246"/>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245"/>
      <c r="AL33" s="245"/>
      <c r="AM33" s="245"/>
      <c r="AN33" s="247"/>
      <c r="AO33" s="245"/>
      <c r="AP33" s="265">
        <v>19</v>
      </c>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2"/>
      <c r="BM33" s="242"/>
      <c r="BN33" s="242"/>
      <c r="BO33" s="242"/>
      <c r="BP33" s="242"/>
      <c r="BQ33" s="242"/>
      <c r="BR33" s="242"/>
      <c r="BS33" s="243"/>
      <c r="DK33" s="669"/>
      <c r="DL33" s="669"/>
      <c r="DM33" s="669"/>
    </row>
    <row r="34" spans="1:124" ht="14.1" customHeight="1">
      <c r="A34" s="244"/>
      <c r="B34" s="245"/>
      <c r="C34" s="245"/>
      <c r="D34" s="245"/>
      <c r="E34" s="245"/>
      <c r="F34" s="245"/>
      <c r="G34" s="245"/>
      <c r="H34" s="245"/>
      <c r="I34" s="245"/>
      <c r="J34" s="245"/>
      <c r="K34" s="245"/>
      <c r="L34" s="246"/>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245"/>
      <c r="AL34" s="245"/>
      <c r="AM34" s="245"/>
      <c r="AN34" s="247"/>
      <c r="AO34" s="245"/>
      <c r="AP34" s="242">
        <v>20</v>
      </c>
      <c r="AQ34" s="708" t="s">
        <v>84</v>
      </c>
      <c r="AR34" s="709" t="s">
        <v>370</v>
      </c>
      <c r="AS34" s="708" t="s">
        <v>84</v>
      </c>
      <c r="AT34" s="709" t="s">
        <v>370</v>
      </c>
      <c r="AU34" s="719" t="s">
        <v>482</v>
      </c>
      <c r="AV34" s="709" t="s">
        <v>516</v>
      </c>
      <c r="AW34" s="709" t="s">
        <v>517</v>
      </c>
      <c r="AX34" s="709"/>
      <c r="AY34" s="242"/>
      <c r="AZ34" s="766" t="s">
        <v>518</v>
      </c>
      <c r="BA34" s="1394" t="s">
        <v>90</v>
      </c>
      <c r="BB34" s="1394"/>
      <c r="BC34" s="242"/>
      <c r="BD34" s="242"/>
      <c r="BE34" s="242"/>
      <c r="BF34" s="242"/>
      <c r="BG34" s="242"/>
      <c r="BH34" s="242"/>
      <c r="BI34" s="242"/>
      <c r="BJ34" s="242"/>
      <c r="BK34" s="242"/>
      <c r="BL34" s="242"/>
      <c r="BM34" s="242"/>
      <c r="BN34" s="242"/>
      <c r="BO34" s="242"/>
      <c r="BP34" s="242"/>
      <c r="BQ34" s="242"/>
      <c r="BR34" s="242"/>
      <c r="BU34" s="255"/>
      <c r="BV34" s="256"/>
      <c r="BW34" s="256"/>
      <c r="BX34" s="256"/>
      <c r="BY34" s="256"/>
      <c r="BZ34" s="256"/>
      <c r="CA34" s="256"/>
      <c r="DK34" s="669"/>
      <c r="DL34" s="669"/>
      <c r="DM34" s="669"/>
    </row>
    <row r="35" spans="1:124" ht="14.1" customHeight="1">
      <c r="A35" s="244"/>
      <c r="B35" s="245"/>
      <c r="C35" s="245"/>
      <c r="D35" s="245"/>
      <c r="E35" s="245"/>
      <c r="F35" s="245"/>
      <c r="G35" s="245"/>
      <c r="H35" s="245"/>
      <c r="I35" s="245"/>
      <c r="J35" s="245"/>
      <c r="K35" s="245"/>
      <c r="L35" s="246"/>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7"/>
      <c r="AO35" s="245"/>
      <c r="AP35" s="242"/>
      <c r="AQ35" s="710">
        <v>300</v>
      </c>
      <c r="AR35" s="711" t="s">
        <v>481</v>
      </c>
      <c r="AS35" s="710" t="str">
        <f t="shared" ref="AS35:AS41" si="33">+A15</f>
        <v/>
      </c>
      <c r="AT35" s="711" t="str">
        <f t="shared" ref="AT35:AT41" si="34">IF(AU35="","",VLOOKUP(AS35,$AQ$35:$AR$58,2,0))</f>
        <v/>
      </c>
      <c r="AU35" s="710"/>
      <c r="AV35" s="719" t="str">
        <f t="shared" ref="AV35:AV41" si="35">+AG15</f>
        <v/>
      </c>
      <c r="AW35" s="711" t="str">
        <f t="shared" ref="AW35:AW41" si="36">+AK15</f>
        <v/>
      </c>
      <c r="AX35" s="662"/>
      <c r="AZ35" s="711" t="s">
        <v>236</v>
      </c>
      <c r="BA35" s="721" t="e">
        <f t="shared" ref="BA35:BA41" si="37">+VLOOKUP(AZ35,$E$55:$AF$75,21,0)</f>
        <v>#N/A</v>
      </c>
      <c r="BB35" s="722" t="str">
        <f>+IFERROR(BA35,"0")</f>
        <v>0</v>
      </c>
      <c r="BC35" s="767" t="s">
        <v>483</v>
      </c>
      <c r="BD35" s="768">
        <f>IF(AND(BB39="",BB39="",BB40=""),"",+BB39+BB40)</f>
        <v>0</v>
      </c>
      <c r="BE35" s="242"/>
      <c r="BF35" s="242"/>
      <c r="BG35" s="242"/>
      <c r="BH35" s="242"/>
      <c r="BI35" s="242"/>
      <c r="BJ35" s="242"/>
      <c r="BK35" s="242"/>
      <c r="BL35" s="242"/>
      <c r="BM35" s="242"/>
      <c r="BN35" s="263" t="s">
        <v>374</v>
      </c>
      <c r="BO35" s="242"/>
      <c r="BP35" s="242"/>
      <c r="BQ35" s="242"/>
      <c r="BR35" s="242"/>
      <c r="BS35" s="769" t="s">
        <v>396</v>
      </c>
      <c r="BU35" s="255"/>
      <c r="BV35" s="269" t="s">
        <v>519</v>
      </c>
      <c r="BW35" s="256"/>
      <c r="BX35" s="256"/>
      <c r="BY35" s="256"/>
      <c r="BZ35" s="256"/>
      <c r="CA35" s="256"/>
      <c r="DK35" s="669"/>
      <c r="DL35" s="669"/>
      <c r="DM35" s="669"/>
    </row>
    <row r="36" spans="1:124" ht="14.1" customHeight="1">
      <c r="A36" s="244"/>
      <c r="B36" s="245"/>
      <c r="C36" s="245"/>
      <c r="D36" s="245"/>
      <c r="E36" s="245"/>
      <c r="F36" s="245"/>
      <c r="G36" s="245"/>
      <c r="H36" s="245"/>
      <c r="I36" s="245"/>
      <c r="J36" s="245"/>
      <c r="K36" s="245"/>
      <c r="L36" s="246"/>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7"/>
      <c r="AO36" s="245"/>
      <c r="AP36" s="242"/>
      <c r="AQ36" s="710">
        <v>76.2</v>
      </c>
      <c r="AR36" s="711" t="s">
        <v>235</v>
      </c>
      <c r="AS36" s="710" t="str">
        <f t="shared" si="33"/>
        <v/>
      </c>
      <c r="AT36" s="711" t="str">
        <f t="shared" si="34"/>
        <v/>
      </c>
      <c r="AU36" s="710"/>
      <c r="AV36" s="719" t="str">
        <f t="shared" si="35"/>
        <v/>
      </c>
      <c r="AW36" s="711" t="str">
        <f t="shared" si="36"/>
        <v/>
      </c>
      <c r="AX36" s="662"/>
      <c r="AZ36" s="711" t="s">
        <v>477</v>
      </c>
      <c r="BA36" s="721" t="e">
        <f t="shared" si="37"/>
        <v>#N/A</v>
      </c>
      <c r="BB36" s="722" t="str">
        <f t="shared" ref="BB36:BB52" si="38">+IFERROR(BA36,"0")</f>
        <v>0</v>
      </c>
      <c r="BC36" s="767" t="s">
        <v>484</v>
      </c>
      <c r="BD36" s="768" t="e">
        <f>IF(AND(BB41="",BB41="",BB44=""),"",+BB41+BB44)</f>
        <v>#VALUE!</v>
      </c>
      <c r="BE36" s="242"/>
      <c r="BF36" s="242"/>
      <c r="BG36" s="242"/>
      <c r="BH36" s="242"/>
      <c r="BI36" s="242"/>
      <c r="BJ36" s="242"/>
      <c r="BK36" s="242"/>
      <c r="BL36" s="242"/>
      <c r="BM36" s="242"/>
      <c r="BN36" s="263" t="s">
        <v>319</v>
      </c>
      <c r="BO36" s="242"/>
      <c r="BP36" s="242"/>
      <c r="BQ36" s="242"/>
      <c r="BR36" s="242"/>
      <c r="BS36" s="658" t="s">
        <v>473</v>
      </c>
      <c r="BU36" s="255"/>
      <c r="BV36" s="658" t="s">
        <v>520</v>
      </c>
      <c r="BW36" s="256"/>
      <c r="BX36" s="256"/>
      <c r="BY36" s="256"/>
      <c r="BZ36" s="256"/>
      <c r="CA36" s="256"/>
      <c r="DK36" s="669"/>
      <c r="DL36" s="669"/>
      <c r="DM36" s="669"/>
    </row>
    <row r="37" spans="1:124" ht="14.1" customHeight="1">
      <c r="A37" s="244"/>
      <c r="B37" s="245"/>
      <c r="C37" s="245"/>
      <c r="D37" s="245"/>
      <c r="E37" s="245"/>
      <c r="F37" s="245"/>
      <c r="G37" s="245"/>
      <c r="H37" s="245"/>
      <c r="I37" s="245"/>
      <c r="J37" s="245"/>
      <c r="K37" s="245"/>
      <c r="L37" s="246"/>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245"/>
      <c r="AL37" s="245"/>
      <c r="AM37" s="245"/>
      <c r="AN37" s="247"/>
      <c r="AO37" s="245"/>
      <c r="AP37" s="242"/>
      <c r="AQ37" s="710">
        <v>64</v>
      </c>
      <c r="AR37" s="711" t="s">
        <v>236</v>
      </c>
      <c r="AS37" s="710" t="str">
        <f t="shared" si="33"/>
        <v/>
      </c>
      <c r="AT37" s="711" t="str">
        <f t="shared" si="34"/>
        <v/>
      </c>
      <c r="AU37" s="710"/>
      <c r="AV37" s="719" t="str">
        <f t="shared" si="35"/>
        <v/>
      </c>
      <c r="AW37" s="711" t="str">
        <f t="shared" si="36"/>
        <v/>
      </c>
      <c r="AX37" s="662"/>
      <c r="AZ37" s="711" t="s">
        <v>237</v>
      </c>
      <c r="BA37" s="721" t="e">
        <f t="shared" si="37"/>
        <v>#N/A</v>
      </c>
      <c r="BB37" s="722" t="str">
        <f t="shared" si="38"/>
        <v>0</v>
      </c>
      <c r="BC37" s="770" t="s">
        <v>485</v>
      </c>
      <c r="BD37" s="771" t="e">
        <f>IF(AND(BB45="",BB46=""),"",+BB45+BB46)</f>
        <v>#VALUE!</v>
      </c>
      <c r="BE37" s="242"/>
      <c r="BF37" s="242"/>
      <c r="BG37" s="242"/>
      <c r="BH37" s="242"/>
      <c r="BI37" s="242"/>
      <c r="BJ37" s="242"/>
      <c r="BK37" s="242"/>
      <c r="BL37" s="242"/>
      <c r="BM37" s="242"/>
      <c r="BN37" s="263" t="s">
        <v>27</v>
      </c>
      <c r="BO37" s="242"/>
      <c r="BP37" s="242"/>
      <c r="BQ37" s="242"/>
      <c r="BR37" s="242"/>
      <c r="BS37" s="659" t="s">
        <v>392</v>
      </c>
      <c r="BU37" s="255"/>
      <c r="BV37" s="658" t="s">
        <v>520</v>
      </c>
      <c r="BW37" s="256"/>
      <c r="BX37" s="256"/>
      <c r="BY37" s="256"/>
      <c r="BZ37" s="256"/>
      <c r="CA37" s="256"/>
      <c r="DK37" s="669"/>
      <c r="DL37" s="669"/>
      <c r="DM37" s="669"/>
    </row>
    <row r="38" spans="1:124" s="248" customFormat="1" ht="14.1" customHeight="1">
      <c r="A38" s="244"/>
      <c r="B38" s="245"/>
      <c r="C38" s="245"/>
      <c r="D38" s="245"/>
      <c r="E38" s="245"/>
      <c r="F38" s="245"/>
      <c r="G38" s="245"/>
      <c r="H38" s="245"/>
      <c r="I38" s="245"/>
      <c r="J38" s="245"/>
      <c r="K38" s="245"/>
      <c r="L38" s="246"/>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245"/>
      <c r="AL38" s="245"/>
      <c r="AM38" s="245"/>
      <c r="AN38" s="247"/>
      <c r="AO38" s="245"/>
      <c r="AP38" s="242"/>
      <c r="AQ38" s="710">
        <v>57</v>
      </c>
      <c r="AR38" s="711" t="s">
        <v>477</v>
      </c>
      <c r="AS38" s="710" t="str">
        <f t="shared" si="33"/>
        <v/>
      </c>
      <c r="AT38" s="711" t="str">
        <f t="shared" si="34"/>
        <v/>
      </c>
      <c r="AU38" s="710"/>
      <c r="AV38" s="719" t="str">
        <f t="shared" si="35"/>
        <v/>
      </c>
      <c r="AW38" s="711" t="str">
        <f t="shared" si="36"/>
        <v/>
      </c>
      <c r="AX38" s="720"/>
      <c r="AZ38" s="711" t="s">
        <v>238</v>
      </c>
      <c r="BA38" s="721" t="e">
        <f t="shared" si="37"/>
        <v>#N/A</v>
      </c>
      <c r="BB38" s="722" t="str">
        <f t="shared" si="38"/>
        <v>0</v>
      </c>
      <c r="BC38" s="767" t="s">
        <v>486</v>
      </c>
      <c r="BD38" s="768">
        <f>IF(AND(BB47="",BB47="",BB48=""),"",+BB47+BB48+BB49)</f>
        <v>0</v>
      </c>
      <c r="BE38" s="242"/>
      <c r="BF38" s="242"/>
      <c r="BG38" s="242"/>
      <c r="BH38" s="242"/>
      <c r="BI38" s="242"/>
      <c r="BJ38" s="242"/>
      <c r="BK38" s="242"/>
      <c r="BL38" s="242"/>
      <c r="BM38" s="242"/>
      <c r="BN38" s="263" t="s">
        <v>26</v>
      </c>
      <c r="BO38" s="242"/>
      <c r="BP38" s="242"/>
      <c r="BQ38" s="242"/>
      <c r="BR38" s="242"/>
      <c r="BS38" s="659" t="s">
        <v>393</v>
      </c>
      <c r="BT38" s="243"/>
      <c r="BU38" s="255"/>
      <c r="BV38" s="658" t="s">
        <v>520</v>
      </c>
      <c r="BW38" s="256"/>
      <c r="BX38" s="256"/>
      <c r="BY38" s="256"/>
      <c r="BZ38" s="256"/>
      <c r="CA38" s="256"/>
      <c r="CB38" s="233"/>
      <c r="CC38" s="233"/>
      <c r="CD38" s="231"/>
      <c r="CE38" s="231"/>
      <c r="CF38" s="231"/>
      <c r="CG38" s="231"/>
      <c r="CH38" s="231"/>
      <c r="CI38" s="231"/>
      <c r="CJ38" s="231"/>
      <c r="CK38" s="231"/>
      <c r="CL38" s="231"/>
      <c r="CM38" s="231"/>
      <c r="CN38" s="231"/>
      <c r="CO38" s="231"/>
      <c r="CP38" s="231"/>
      <c r="CQ38" s="231"/>
      <c r="CR38" s="231"/>
      <c r="CS38" s="231"/>
      <c r="CT38" s="670"/>
      <c r="CU38" s="670"/>
      <c r="CV38" s="670"/>
      <c r="CW38" s="670"/>
      <c r="CX38" s="670"/>
      <c r="CY38" s="670"/>
      <c r="CZ38" s="670"/>
      <c r="DA38" s="670"/>
      <c r="DB38" s="670"/>
      <c r="DC38" s="670"/>
      <c r="DD38" s="670"/>
      <c r="DE38" s="670"/>
      <c r="DF38" s="670"/>
      <c r="DG38" s="670"/>
      <c r="DH38" s="670"/>
      <c r="DI38" s="670"/>
      <c r="DJ38" s="670"/>
      <c r="DK38" s="669"/>
      <c r="DL38" s="669"/>
      <c r="DM38" s="669"/>
      <c r="DN38" s="670"/>
      <c r="DO38" s="670"/>
      <c r="DP38" s="670"/>
      <c r="DQ38" s="670"/>
      <c r="DR38" s="670"/>
      <c r="DS38" s="670"/>
      <c r="DT38" s="670"/>
    </row>
    <row r="39" spans="1:124" s="248" customFormat="1" ht="14.1" customHeight="1">
      <c r="A39" s="244"/>
      <c r="B39" s="245"/>
      <c r="C39" s="245"/>
      <c r="D39" s="245"/>
      <c r="E39" s="245"/>
      <c r="F39" s="245"/>
      <c r="G39" s="245"/>
      <c r="H39" s="245"/>
      <c r="I39" s="245"/>
      <c r="J39" s="245"/>
      <c r="K39" s="245"/>
      <c r="L39" s="246"/>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245"/>
      <c r="AL39" s="245"/>
      <c r="AM39" s="245"/>
      <c r="AN39" s="247"/>
      <c r="AO39" s="245"/>
      <c r="AP39" s="242"/>
      <c r="AQ39" s="710">
        <v>50</v>
      </c>
      <c r="AR39" s="711" t="s">
        <v>237</v>
      </c>
      <c r="AS39" s="710" t="str">
        <f t="shared" si="33"/>
        <v/>
      </c>
      <c r="AT39" s="711" t="str">
        <f t="shared" si="34"/>
        <v/>
      </c>
      <c r="AU39" s="710"/>
      <c r="AV39" s="719" t="str">
        <f t="shared" si="35"/>
        <v/>
      </c>
      <c r="AW39" s="711" t="str">
        <f t="shared" si="36"/>
        <v/>
      </c>
      <c r="AX39" s="720"/>
      <c r="AZ39" s="711" t="s">
        <v>50</v>
      </c>
      <c r="BA39" s="721" t="e">
        <f t="shared" si="37"/>
        <v>#N/A</v>
      </c>
      <c r="BB39" s="722" t="str">
        <f t="shared" si="38"/>
        <v>0</v>
      </c>
      <c r="BC39" s="767" t="s">
        <v>487</v>
      </c>
      <c r="BD39" s="772" t="str">
        <f>IF(BB47="","",+BB47)</f>
        <v>0</v>
      </c>
      <c r="BE39" s="243"/>
      <c r="BF39" s="243"/>
      <c r="BG39" s="243"/>
      <c r="BH39" s="243"/>
      <c r="BI39" s="243"/>
      <c r="BJ39" s="243"/>
      <c r="BK39" s="243"/>
      <c r="BL39" s="243"/>
      <c r="BM39" s="243"/>
      <c r="BN39" s="263" t="s">
        <v>320</v>
      </c>
      <c r="BO39" s="243"/>
      <c r="BP39" s="243"/>
      <c r="BQ39" s="243"/>
      <c r="BR39" s="243"/>
      <c r="BS39" s="659" t="s">
        <v>394</v>
      </c>
      <c r="BT39" s="243"/>
      <c r="BU39" s="255"/>
      <c r="BV39" s="658" t="s">
        <v>520</v>
      </c>
      <c r="BW39" s="256"/>
      <c r="BX39" s="256"/>
      <c r="BY39" s="256"/>
      <c r="BZ39" s="256"/>
      <c r="CA39" s="256"/>
      <c r="CB39" s="233"/>
      <c r="CC39" s="233"/>
      <c r="CD39" s="231"/>
      <c r="CE39" s="231"/>
      <c r="CF39" s="231"/>
      <c r="CG39" s="231"/>
      <c r="CH39" s="231"/>
      <c r="CI39" s="231"/>
      <c r="CJ39" s="231"/>
      <c r="CK39" s="231"/>
      <c r="CL39" s="231"/>
      <c r="CM39" s="231"/>
      <c r="CN39" s="231"/>
      <c r="CO39" s="231"/>
      <c r="CP39" s="231"/>
      <c r="CQ39" s="231"/>
      <c r="CR39" s="231"/>
      <c r="CS39" s="231"/>
      <c r="CT39" s="670"/>
      <c r="CU39" s="670"/>
      <c r="CV39" s="670"/>
      <c r="CW39" s="670"/>
      <c r="CX39" s="670"/>
      <c r="CY39" s="670"/>
      <c r="CZ39" s="670"/>
      <c r="DA39" s="670"/>
      <c r="DB39" s="670"/>
      <c r="DC39" s="670"/>
      <c r="DD39" s="670"/>
      <c r="DE39" s="670"/>
      <c r="DF39" s="670"/>
      <c r="DG39" s="670"/>
      <c r="DH39" s="670"/>
      <c r="DI39" s="670"/>
      <c r="DJ39" s="670"/>
      <c r="DK39" s="669"/>
      <c r="DL39" s="669"/>
      <c r="DM39" s="669"/>
      <c r="DN39" s="670"/>
      <c r="DO39" s="670"/>
      <c r="DP39" s="670"/>
      <c r="DQ39" s="670"/>
      <c r="DR39" s="670"/>
      <c r="DS39" s="670"/>
      <c r="DT39" s="670"/>
    </row>
    <row r="40" spans="1:124" ht="14.1" customHeight="1">
      <c r="A40" s="244"/>
      <c r="B40" s="245"/>
      <c r="C40" s="245"/>
      <c r="D40" s="245"/>
      <c r="E40" s="245"/>
      <c r="F40" s="245"/>
      <c r="G40" s="245"/>
      <c r="H40" s="245"/>
      <c r="I40" s="245"/>
      <c r="J40" s="245"/>
      <c r="K40" s="245"/>
      <c r="L40" s="246"/>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245"/>
      <c r="AL40" s="245"/>
      <c r="AM40" s="245"/>
      <c r="AN40" s="247"/>
      <c r="AO40" s="245"/>
      <c r="AP40" s="243"/>
      <c r="AQ40" s="710">
        <v>37.5</v>
      </c>
      <c r="AR40" s="711" t="s">
        <v>238</v>
      </c>
      <c r="AS40" s="710" t="str">
        <f t="shared" si="33"/>
        <v/>
      </c>
      <c r="AT40" s="711" t="str">
        <f t="shared" si="34"/>
        <v/>
      </c>
      <c r="AU40" s="710"/>
      <c r="AV40" s="719" t="str">
        <f t="shared" si="35"/>
        <v/>
      </c>
      <c r="AW40" s="711" t="str">
        <f t="shared" si="36"/>
        <v/>
      </c>
      <c r="AX40" s="662"/>
      <c r="AZ40" s="711" t="s">
        <v>521</v>
      </c>
      <c r="BA40" s="721" t="e">
        <f t="shared" si="37"/>
        <v>#N/A</v>
      </c>
      <c r="BB40" s="722" t="str">
        <f t="shared" si="38"/>
        <v>0</v>
      </c>
      <c r="BC40" s="767" t="s">
        <v>488</v>
      </c>
      <c r="BD40" s="772">
        <f>IF(AND(BB49="",BB48=""),"",+BB48+BB49)</f>
        <v>0</v>
      </c>
      <c r="BN40" s="263" t="s">
        <v>321</v>
      </c>
      <c r="BS40" s="659" t="s">
        <v>395</v>
      </c>
      <c r="BU40" s="255"/>
      <c r="BV40" s="658" t="s">
        <v>520</v>
      </c>
      <c r="BW40" s="256"/>
      <c r="BX40" s="256"/>
      <c r="BY40" s="256"/>
      <c r="BZ40" s="256"/>
      <c r="CA40" s="256"/>
      <c r="DK40" s="669"/>
      <c r="DL40" s="669"/>
      <c r="DM40" s="669"/>
    </row>
    <row r="41" spans="1:124" ht="11.25" customHeight="1">
      <c r="A41" s="244"/>
      <c r="B41" s="245"/>
      <c r="C41" s="245"/>
      <c r="D41" s="245"/>
      <c r="E41" s="245"/>
      <c r="F41" s="245"/>
      <c r="G41" s="245"/>
      <c r="H41" s="245"/>
      <c r="I41" s="245"/>
      <c r="J41" s="245"/>
      <c r="K41" s="245"/>
      <c r="L41" s="246"/>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7"/>
      <c r="AO41" s="245"/>
      <c r="AQ41" s="710">
        <v>25</v>
      </c>
      <c r="AR41" s="711" t="s">
        <v>50</v>
      </c>
      <c r="AS41" s="710" t="str">
        <f t="shared" si="33"/>
        <v/>
      </c>
      <c r="AT41" s="711" t="str">
        <f t="shared" si="34"/>
        <v/>
      </c>
      <c r="AU41" s="710"/>
      <c r="AV41" s="719" t="str">
        <f t="shared" si="35"/>
        <v/>
      </c>
      <c r="AW41" s="711" t="str">
        <f t="shared" si="36"/>
        <v/>
      </c>
      <c r="AX41" s="662"/>
      <c r="AZ41" s="711" t="s">
        <v>53</v>
      </c>
      <c r="BA41" s="721" t="str">
        <f t="shared" si="37"/>
        <v/>
      </c>
      <c r="BB41" s="722" t="str">
        <f t="shared" si="38"/>
        <v/>
      </c>
      <c r="BC41" s="767" t="s">
        <v>489</v>
      </c>
      <c r="BD41" s="772" t="str">
        <f>IF(AND(BB50="",BB50=""),"",+BB50)</f>
        <v>0</v>
      </c>
      <c r="BN41" s="263" t="s">
        <v>322</v>
      </c>
      <c r="BS41" s="662" t="s">
        <v>522</v>
      </c>
      <c r="BU41" s="255"/>
      <c r="BV41" s="658" t="s">
        <v>523</v>
      </c>
      <c r="BW41" s="256"/>
      <c r="BX41" s="256"/>
      <c r="BY41" s="256"/>
      <c r="BZ41" s="256"/>
      <c r="CA41" s="256"/>
      <c r="DK41" s="669"/>
      <c r="DL41" s="669"/>
      <c r="DM41" s="669"/>
    </row>
    <row r="42" spans="1:124" ht="11.25" customHeight="1">
      <c r="A42" s="244"/>
      <c r="B42" s="245"/>
      <c r="C42" s="245"/>
      <c r="D42" s="245"/>
      <c r="E42" s="245"/>
      <c r="F42" s="245"/>
      <c r="G42" s="245"/>
      <c r="H42" s="245"/>
      <c r="I42" s="245"/>
      <c r="J42" s="245"/>
      <c r="K42" s="245"/>
      <c r="L42" s="246"/>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7"/>
      <c r="AO42" s="245"/>
      <c r="AQ42" s="710"/>
      <c r="AR42" s="711"/>
      <c r="AS42" s="710"/>
      <c r="AT42" s="711"/>
      <c r="AU42" s="710"/>
      <c r="AV42" s="719"/>
      <c r="AW42" s="711"/>
      <c r="AX42" s="662"/>
      <c r="AZ42" s="711"/>
      <c r="BA42" s="721"/>
      <c r="BB42" s="722"/>
      <c r="BC42" s="767"/>
      <c r="BD42" s="772"/>
      <c r="BN42" s="263"/>
      <c r="BS42" s="662"/>
      <c r="BU42" s="255"/>
      <c r="BV42" s="658"/>
      <c r="BW42" s="256"/>
      <c r="BX42" s="256"/>
      <c r="BY42" s="256"/>
      <c r="BZ42" s="256"/>
      <c r="CA42" s="256"/>
      <c r="DK42" s="669"/>
      <c r="DL42" s="669"/>
      <c r="DM42" s="669"/>
    </row>
    <row r="43" spans="1:124" ht="11.25" customHeight="1">
      <c r="A43" s="244"/>
      <c r="B43" s="245" t="s">
        <v>266</v>
      </c>
      <c r="C43" s="245"/>
      <c r="D43" s="245"/>
      <c r="E43" s="245"/>
      <c r="F43" s="245"/>
      <c r="G43" s="245"/>
      <c r="H43" s="245"/>
      <c r="I43" s="245"/>
      <c r="J43" s="245"/>
      <c r="K43" s="245"/>
      <c r="L43" s="246"/>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7"/>
      <c r="AO43" s="245"/>
      <c r="AQ43" s="710"/>
      <c r="AR43" s="711"/>
      <c r="AS43" s="710"/>
      <c r="AT43" s="711"/>
      <c r="AU43" s="710"/>
      <c r="AV43" s="719"/>
      <c r="AW43" s="711"/>
      <c r="AX43" s="662"/>
      <c r="AZ43" s="711"/>
      <c r="BA43" s="721"/>
      <c r="BB43" s="722"/>
      <c r="BC43" s="767"/>
      <c r="BD43" s="772"/>
      <c r="BN43" s="263"/>
      <c r="BS43" s="662"/>
      <c r="BU43" s="255"/>
      <c r="BV43" s="658"/>
      <c r="BW43" s="256"/>
      <c r="BX43" s="256"/>
      <c r="BY43" s="256"/>
      <c r="BZ43" s="256"/>
      <c r="CA43" s="256"/>
      <c r="DK43" s="669"/>
      <c r="DL43" s="669"/>
      <c r="DM43" s="669"/>
    </row>
    <row r="44" spans="1:124" ht="12" customHeight="1">
      <c r="A44" s="244"/>
      <c r="B44" s="245"/>
      <c r="C44" s="245"/>
      <c r="D44" s="245"/>
      <c r="E44" s="245"/>
      <c r="F44" s="245"/>
      <c r="G44" s="245"/>
      <c r="H44" s="245"/>
      <c r="I44" s="245"/>
      <c r="J44" s="245"/>
      <c r="K44" s="245"/>
      <c r="L44" s="246"/>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7"/>
      <c r="AO44" s="245"/>
      <c r="AQ44" s="710">
        <v>19</v>
      </c>
      <c r="AR44" s="711" t="s">
        <v>52</v>
      </c>
      <c r="AS44" s="710" t="str">
        <f>+A22</f>
        <v/>
      </c>
      <c r="AT44" s="711" t="str">
        <f>IF(AU44="","",VLOOKUP(AS44,$AQ$35:$AR$58,2,0))</f>
        <v/>
      </c>
      <c r="AU44" s="710"/>
      <c r="AV44" s="719" t="str">
        <f>+AG22</f>
        <v/>
      </c>
      <c r="AW44" s="711" t="str">
        <f>+AK22</f>
        <v/>
      </c>
      <c r="AX44" s="662"/>
      <c r="AZ44" s="711" t="s">
        <v>56</v>
      </c>
      <c r="BA44" s="721" t="e">
        <f t="shared" ref="BA44:BA52" si="39">+VLOOKUP(AZ44,$E$55:$AF$75,21,0)</f>
        <v>#N/A</v>
      </c>
      <c r="BB44" s="722" t="str">
        <f t="shared" si="38"/>
        <v>0</v>
      </c>
      <c r="BC44" s="767" t="s">
        <v>490</v>
      </c>
      <c r="BD44" s="772">
        <f>IF(AND(BB51="",BB51="",BB52=""),"",+BB51+BB52)</f>
        <v>0</v>
      </c>
      <c r="BN44" s="240" t="s">
        <v>375</v>
      </c>
      <c r="BS44" s="662" t="s">
        <v>524</v>
      </c>
      <c r="BU44" s="255"/>
      <c r="BV44" s="658" t="s">
        <v>523</v>
      </c>
      <c r="BW44" s="256"/>
      <c r="BX44" s="256"/>
      <c r="BY44" s="256"/>
      <c r="BZ44" s="256"/>
      <c r="CA44" s="256"/>
      <c r="DK44" s="669"/>
      <c r="DL44" s="669"/>
      <c r="DM44" s="669"/>
    </row>
    <row r="45" spans="1:124" ht="15" customHeight="1">
      <c r="A45" s="876"/>
      <c r="B45" s="1075" t="s">
        <v>19</v>
      </c>
      <c r="C45" s="1075"/>
      <c r="D45" s="1075"/>
      <c r="E45" s="1075"/>
      <c r="F45" s="1075"/>
      <c r="G45" s="1075"/>
      <c r="H45" s="637"/>
      <c r="I45" s="637"/>
      <c r="J45" s="637"/>
      <c r="K45" s="637"/>
      <c r="L45" s="637"/>
      <c r="M45" s="637"/>
      <c r="N45" s="637"/>
      <c r="O45" s="637"/>
      <c r="P45" s="637"/>
      <c r="Q45" s="637"/>
      <c r="R45" s="637"/>
      <c r="S45" s="637"/>
      <c r="T45" s="637"/>
      <c r="U45" s="637"/>
      <c r="V45" s="637"/>
      <c r="W45" s="637"/>
      <c r="X45" s="637"/>
      <c r="Y45" s="637"/>
      <c r="Z45" s="637"/>
      <c r="AA45" s="637"/>
      <c r="AB45" s="637"/>
      <c r="AC45" s="637"/>
      <c r="AD45" s="637"/>
      <c r="AE45" s="637"/>
      <c r="AF45" s="637"/>
      <c r="AG45" s="637"/>
      <c r="AH45" s="637"/>
      <c r="AI45" s="637"/>
      <c r="AJ45" s="637"/>
      <c r="AK45" s="637"/>
      <c r="AL45" s="637"/>
      <c r="AM45" s="637"/>
      <c r="AN45" s="877"/>
      <c r="AO45" s="839"/>
      <c r="AQ45" s="710">
        <v>12.5</v>
      </c>
      <c r="AR45" s="711" t="s">
        <v>53</v>
      </c>
      <c r="AS45" s="710" t="str">
        <f>+A23</f>
        <v/>
      </c>
      <c r="AT45" s="711" t="str">
        <f>IF(AU45="","",VLOOKUP(AS45,$AQ$35:$AR$58,2,0))</f>
        <v/>
      </c>
      <c r="AU45" s="710"/>
      <c r="AV45" s="719" t="str">
        <f>+AG23</f>
        <v/>
      </c>
      <c r="AW45" s="711"/>
      <c r="AX45" s="662"/>
      <c r="AZ45" s="711" t="s">
        <v>351</v>
      </c>
      <c r="BA45" s="721" t="str">
        <f t="shared" si="39"/>
        <v/>
      </c>
      <c r="BB45" s="722" t="str">
        <f t="shared" si="38"/>
        <v/>
      </c>
      <c r="BC45" s="806" t="s">
        <v>491</v>
      </c>
      <c r="BD45" s="772">
        <f>IF(AND(BB36="",BB36="",BB37=""),"",+BB36+BB37)</f>
        <v>0</v>
      </c>
      <c r="BE45" s="1390"/>
      <c r="BF45" s="1391"/>
      <c r="BN45" s="96" t="s">
        <v>525</v>
      </c>
      <c r="BS45" s="662" t="s">
        <v>526</v>
      </c>
      <c r="BU45" s="255"/>
      <c r="BV45" s="658" t="s">
        <v>523</v>
      </c>
      <c r="BW45" s="256"/>
      <c r="BX45" s="256"/>
      <c r="BY45" s="256"/>
      <c r="BZ45" s="256"/>
      <c r="CA45" s="256"/>
      <c r="DK45" s="669"/>
      <c r="DL45" s="669"/>
      <c r="DM45" s="669"/>
    </row>
    <row r="46" spans="1:124" ht="15" customHeight="1" thickBot="1">
      <c r="A46" s="1395" t="str">
        <f>+IF(OR(AE11=BS52,AE11=BS53),"Modulo de finura","")</f>
        <v/>
      </c>
      <c r="B46" s="1396"/>
      <c r="C46" s="1396"/>
      <c r="D46" s="1396"/>
      <c r="E46" s="1396"/>
      <c r="F46" s="1397" t="str">
        <f>IF(A46="","",AU56)</f>
        <v/>
      </c>
      <c r="G46" s="1397"/>
      <c r="H46" s="1398"/>
      <c r="I46" s="1398"/>
      <c r="J46" s="1398"/>
      <c r="K46" s="1398"/>
      <c r="L46" s="1398"/>
      <c r="M46" s="1398"/>
      <c r="N46" s="1398"/>
      <c r="O46" s="1398"/>
      <c r="P46" s="1398"/>
      <c r="Q46" s="1398"/>
      <c r="R46" s="1398"/>
      <c r="S46" s="1398"/>
      <c r="T46" s="1398"/>
      <c r="U46" s="1398"/>
      <c r="V46" s="1398"/>
      <c r="W46" s="1398"/>
      <c r="X46" s="1398"/>
      <c r="Y46" s="1398"/>
      <c r="Z46" s="1398"/>
      <c r="AA46" s="1398"/>
      <c r="AB46" s="1398"/>
      <c r="AC46" s="1398"/>
      <c r="AD46" s="1398"/>
      <c r="AE46" s="1398"/>
      <c r="AF46" s="1398"/>
      <c r="AG46" s="1398"/>
      <c r="AH46" s="1398"/>
      <c r="AI46" s="1398"/>
      <c r="AJ46" s="1398"/>
      <c r="AK46" s="1398"/>
      <c r="AL46" s="1398"/>
      <c r="AM46" s="1398"/>
      <c r="AN46" s="1399"/>
      <c r="AO46" s="840"/>
      <c r="AQ46" s="710">
        <v>9.5</v>
      </c>
      <c r="AR46" s="711" t="s">
        <v>56</v>
      </c>
      <c r="AS46" s="710" t="str">
        <f>+A24</f>
        <v/>
      </c>
      <c r="AT46" s="711" t="str">
        <f>IF(AU46="","",VLOOKUP(AS46,$AQ$35:$AR$58,2,0))</f>
        <v/>
      </c>
      <c r="AU46" s="710"/>
      <c r="AV46" s="719" t="str">
        <f>+AG24</f>
        <v/>
      </c>
      <c r="AW46" s="711"/>
      <c r="AX46" s="662"/>
      <c r="AZ46" s="711" t="s">
        <v>251</v>
      </c>
      <c r="BA46" s="721" t="e">
        <f t="shared" si="39"/>
        <v>#N/A</v>
      </c>
      <c r="BB46" s="722" t="str">
        <f t="shared" si="38"/>
        <v>0</v>
      </c>
      <c r="BC46" s="806" t="s">
        <v>492</v>
      </c>
      <c r="BD46" s="772" t="str">
        <f>IF(AND(BB38="",BB38=""),"",+BB38)</f>
        <v>0</v>
      </c>
      <c r="BE46" s="1390"/>
      <c r="BF46" s="1391"/>
      <c r="BN46" s="660" t="s">
        <v>421</v>
      </c>
      <c r="BS46" s="662" t="s">
        <v>527</v>
      </c>
      <c r="BU46" s="255"/>
      <c r="BV46" s="658" t="s">
        <v>523</v>
      </c>
      <c r="BW46" s="256"/>
      <c r="BX46" s="256"/>
      <c r="BY46" s="256"/>
      <c r="BZ46" s="256"/>
      <c r="CA46" s="256"/>
      <c r="DK46" s="669"/>
      <c r="DL46" s="669"/>
      <c r="DM46" s="669"/>
    </row>
    <row r="47" spans="1:124" ht="15" customHeight="1" thickTop="1" thickBot="1">
      <c r="A47" s="1392" t="s">
        <v>23</v>
      </c>
      <c r="B47" s="1392"/>
      <c r="C47" s="1392"/>
      <c r="D47" s="1392"/>
      <c r="E47" s="1392"/>
      <c r="F47" s="1392"/>
      <c r="G47" s="1392"/>
      <c r="H47" s="1392"/>
      <c r="I47" s="1392"/>
      <c r="J47" s="1392"/>
      <c r="K47" s="1392"/>
      <c r="L47" s="1392"/>
      <c r="M47" s="1392"/>
      <c r="N47" s="1392"/>
      <c r="O47" s="1392"/>
      <c r="P47" s="1392"/>
      <c r="Q47" s="1392"/>
      <c r="R47" s="1392"/>
      <c r="S47" s="1392"/>
      <c r="T47" s="1392"/>
      <c r="U47" s="1392"/>
      <c r="V47" s="1392"/>
      <c r="W47" s="1392"/>
      <c r="X47" s="1392"/>
      <c r="Y47" s="1392"/>
      <c r="Z47" s="1392"/>
      <c r="AA47" s="1392"/>
      <c r="AB47" s="1392"/>
      <c r="AC47" s="1392"/>
      <c r="AD47" s="1392"/>
      <c r="AE47" s="1392"/>
      <c r="AF47" s="1392"/>
      <c r="AG47" s="1392"/>
      <c r="AH47" s="1392"/>
      <c r="AI47" s="1392"/>
      <c r="AJ47" s="1392"/>
      <c r="AK47" s="1392"/>
      <c r="AL47" s="1392"/>
      <c r="AM47" s="1392"/>
      <c r="AN47" s="1392"/>
      <c r="AO47" s="841"/>
      <c r="AQ47" s="710">
        <f>25.4/4</f>
        <v>6.35</v>
      </c>
      <c r="AR47" s="711" t="s">
        <v>351</v>
      </c>
      <c r="AS47" s="713"/>
      <c r="AT47" s="713"/>
      <c r="AU47" s="720"/>
      <c r="AV47" s="707"/>
      <c r="AW47" s="707"/>
      <c r="AX47" s="707"/>
      <c r="AZ47" s="711" t="s">
        <v>252</v>
      </c>
      <c r="BA47" s="721" t="e">
        <f t="shared" si="39"/>
        <v>#N/A</v>
      </c>
      <c r="BB47" s="722" t="str">
        <f t="shared" si="38"/>
        <v>0</v>
      </c>
      <c r="BC47" s="807" t="s">
        <v>495</v>
      </c>
      <c r="BD47" s="773" t="str">
        <f>IF(AND(BB39="",BB39=""),"",BB39)</f>
        <v>0</v>
      </c>
      <c r="BE47" s="1390"/>
      <c r="BF47" s="1391"/>
      <c r="BN47" s="660" t="s">
        <v>420</v>
      </c>
      <c r="BS47" s="660" t="s">
        <v>421</v>
      </c>
      <c r="BU47" s="255"/>
      <c r="BV47" s="658" t="s">
        <v>563</v>
      </c>
      <c r="BW47" s="256"/>
      <c r="BX47" s="256"/>
      <c r="BY47" s="256"/>
      <c r="BZ47" s="256"/>
      <c r="CA47" s="256"/>
      <c r="DK47" s="669"/>
      <c r="DL47" s="669"/>
      <c r="DM47" s="669"/>
    </row>
    <row r="48" spans="1:124" ht="9" customHeight="1" thickTop="1">
      <c r="A48" s="1377"/>
      <c r="B48" s="1377"/>
      <c r="C48" s="1377"/>
      <c r="D48" s="1377"/>
      <c r="E48" s="1377"/>
      <c r="F48" s="1377"/>
      <c r="G48" s="1377"/>
      <c r="H48" s="1377"/>
      <c r="I48" s="1377"/>
      <c r="J48" s="1377"/>
      <c r="K48" s="1377"/>
      <c r="L48" s="1377"/>
      <c r="M48" s="1377"/>
      <c r="N48" s="1377"/>
      <c r="O48" s="1377"/>
      <c r="P48" s="1377"/>
      <c r="Q48" s="1377"/>
      <c r="R48" s="1377"/>
      <c r="S48" s="1377"/>
      <c r="T48" s="1377"/>
      <c r="U48" s="1377"/>
      <c r="V48" s="1377"/>
      <c r="W48" s="1377"/>
      <c r="X48" s="1377"/>
      <c r="Y48" s="1377"/>
      <c r="Z48" s="1377"/>
      <c r="AA48" s="1377"/>
      <c r="AB48" s="1377"/>
      <c r="AC48" s="1377"/>
      <c r="AD48" s="1377"/>
      <c r="AE48" s="1377"/>
      <c r="AF48" s="1377"/>
      <c r="AG48" s="1377"/>
      <c r="AH48" s="1377"/>
      <c r="AI48" s="1377"/>
      <c r="AJ48" s="1377"/>
      <c r="AK48" s="1377"/>
      <c r="AL48" s="1377"/>
      <c r="AM48" s="1377"/>
      <c r="AN48" s="1377"/>
      <c r="AO48" s="842"/>
      <c r="AQ48" s="710">
        <v>4.75</v>
      </c>
      <c r="AR48" s="711" t="s">
        <v>251</v>
      </c>
      <c r="AS48" s="713"/>
      <c r="AT48" s="265"/>
      <c r="AU48" s="265" t="s">
        <v>539</v>
      </c>
      <c r="AV48" s="707"/>
      <c r="AW48" s="707"/>
      <c r="AX48" s="707"/>
      <c r="AZ48" s="711" t="s">
        <v>259</v>
      </c>
      <c r="BA48" s="721" t="e">
        <f t="shared" si="39"/>
        <v>#N/A</v>
      </c>
      <c r="BB48" s="722" t="str">
        <f t="shared" si="38"/>
        <v>0</v>
      </c>
      <c r="BC48" s="807" t="s">
        <v>496</v>
      </c>
      <c r="BD48" s="773" t="str">
        <f>IF(AND(BB40="",BB40=""),"",+BB40)</f>
        <v>0</v>
      </c>
      <c r="BE48" s="1378"/>
      <c r="BF48" s="1379"/>
      <c r="BN48" s="660" t="s">
        <v>419</v>
      </c>
      <c r="BS48" s="660" t="s">
        <v>420</v>
      </c>
      <c r="BU48" s="255"/>
      <c r="BV48" s="658" t="s">
        <v>563</v>
      </c>
      <c r="BW48" s="256"/>
      <c r="BX48" s="256"/>
      <c r="BY48" s="256"/>
      <c r="BZ48" s="256"/>
      <c r="CA48" s="256"/>
      <c r="DK48" s="669"/>
      <c r="DL48" s="669"/>
      <c r="DM48" s="669"/>
    </row>
    <row r="49" spans="1:124" ht="9.75" customHeight="1">
      <c r="A49" s="1389" t="s">
        <v>548</v>
      </c>
      <c r="B49" s="1389"/>
      <c r="C49" s="1389"/>
      <c r="D49" s="1389"/>
      <c r="E49" s="1389"/>
      <c r="F49" s="1389"/>
      <c r="G49" s="1389"/>
      <c r="H49" s="1389"/>
      <c r="I49" s="1389"/>
      <c r="J49" s="1389"/>
      <c r="K49" s="1389"/>
      <c r="L49" s="1389"/>
      <c r="M49" s="1389"/>
      <c r="N49" s="1389"/>
      <c r="O49" s="1389"/>
      <c r="P49" s="1389"/>
      <c r="Q49" s="1389"/>
      <c r="R49" s="1389"/>
      <c r="S49" s="1389"/>
      <c r="T49" s="1389"/>
      <c r="U49" s="1389"/>
      <c r="V49" s="1389"/>
      <c r="W49" s="1389"/>
      <c r="X49" s="1389"/>
      <c r="Y49" s="1389"/>
      <c r="Z49" s="1389"/>
      <c r="AA49" s="1389"/>
      <c r="AB49" s="1389"/>
      <c r="AC49" s="1389"/>
      <c r="AD49" s="1389"/>
      <c r="AE49" s="1389"/>
      <c r="AF49" s="1389"/>
      <c r="AG49" s="1389"/>
      <c r="AH49" s="1389"/>
      <c r="AI49" s="1389"/>
      <c r="AJ49" s="1389"/>
      <c r="AK49" s="1389"/>
      <c r="AL49" s="1389"/>
      <c r="AM49" s="1389"/>
      <c r="AN49" s="1389"/>
      <c r="AO49" s="829"/>
      <c r="AQ49" s="710">
        <v>2.36</v>
      </c>
      <c r="AR49" s="711" t="s">
        <v>252</v>
      </c>
      <c r="AS49" s="713"/>
      <c r="AT49" s="265"/>
      <c r="AU49" s="777" t="str">
        <f>+Q15</f>
        <v/>
      </c>
      <c r="AV49" s="707"/>
      <c r="AW49" s="707"/>
      <c r="AX49" s="707"/>
      <c r="AZ49" s="711" t="s">
        <v>253</v>
      </c>
      <c r="BA49" s="721" t="e">
        <f t="shared" si="39"/>
        <v>#N/A</v>
      </c>
      <c r="BB49" s="722" t="str">
        <f t="shared" si="38"/>
        <v>0</v>
      </c>
      <c r="BC49" s="808" t="s">
        <v>494</v>
      </c>
      <c r="BD49" s="773" t="str">
        <f>IF(AND(BB41="",BB41=""),"",+BB41)</f>
        <v/>
      </c>
      <c r="BE49" s="1390"/>
      <c r="BF49" s="1391"/>
      <c r="BN49" s="660" t="s">
        <v>418</v>
      </c>
      <c r="BS49" s="660" t="s">
        <v>419</v>
      </c>
      <c r="BU49" s="255"/>
      <c r="BV49" s="658" t="s">
        <v>563</v>
      </c>
      <c r="BW49" s="256"/>
      <c r="BX49" s="256"/>
      <c r="BY49" s="256"/>
      <c r="BZ49" s="256"/>
      <c r="CA49" s="256"/>
      <c r="DK49" s="669"/>
      <c r="DL49" s="669"/>
      <c r="DM49" s="669"/>
    </row>
    <row r="50" spans="1:124" ht="17.25" customHeight="1">
      <c r="A50" s="1389"/>
      <c r="B50" s="1389"/>
      <c r="C50" s="1389"/>
      <c r="D50" s="1389"/>
      <c r="E50" s="1389"/>
      <c r="F50" s="1389"/>
      <c r="G50" s="1389"/>
      <c r="H50" s="1389"/>
      <c r="I50" s="1389"/>
      <c r="J50" s="1389"/>
      <c r="K50" s="1389"/>
      <c r="L50" s="1389"/>
      <c r="M50" s="1389"/>
      <c r="N50" s="1389"/>
      <c r="O50" s="1389"/>
      <c r="P50" s="1389"/>
      <c r="Q50" s="1389"/>
      <c r="R50" s="1389"/>
      <c r="S50" s="1389"/>
      <c r="T50" s="1389"/>
      <c r="U50" s="1389"/>
      <c r="V50" s="1389"/>
      <c r="W50" s="1389"/>
      <c r="X50" s="1389"/>
      <c r="Y50" s="1389"/>
      <c r="Z50" s="1389"/>
      <c r="AA50" s="1389"/>
      <c r="AB50" s="1389"/>
      <c r="AC50" s="1389"/>
      <c r="AD50" s="1389"/>
      <c r="AE50" s="1389"/>
      <c r="AF50" s="1389"/>
      <c r="AG50" s="1389"/>
      <c r="AH50" s="1389"/>
      <c r="AI50" s="1389"/>
      <c r="AJ50" s="1389"/>
      <c r="AK50" s="1389"/>
      <c r="AL50" s="1389"/>
      <c r="AM50" s="1389"/>
      <c r="AN50" s="1389"/>
      <c r="AO50" s="829"/>
      <c r="AQ50" s="710">
        <v>2</v>
      </c>
      <c r="AR50" s="711" t="s">
        <v>259</v>
      </c>
      <c r="AS50" s="713"/>
      <c r="AT50" s="265"/>
      <c r="AU50" s="777" t="e">
        <f t="shared" ref="AU50:AU55" si="40">+AU49+Q16</f>
        <v>#VALUE!</v>
      </c>
      <c r="AV50" s="707"/>
      <c r="AW50" s="707"/>
      <c r="AX50" s="707"/>
      <c r="AZ50" s="711" t="s">
        <v>254</v>
      </c>
      <c r="BA50" s="721" t="e">
        <f t="shared" si="39"/>
        <v>#N/A</v>
      </c>
      <c r="BB50" s="722" t="str">
        <f t="shared" si="38"/>
        <v>0</v>
      </c>
      <c r="BC50" s="809" t="s">
        <v>493</v>
      </c>
      <c r="BD50" s="773" t="str">
        <f>IF(AND(BB44="",BB44=""),"",+BB44)</f>
        <v>0</v>
      </c>
      <c r="BE50" s="1378"/>
      <c r="BF50" s="1379"/>
      <c r="BN50" s="660" t="s">
        <v>417</v>
      </c>
      <c r="BS50" s="660" t="s">
        <v>418</v>
      </c>
      <c r="BU50" s="255"/>
      <c r="BV50" s="658" t="s">
        <v>563</v>
      </c>
      <c r="BW50" s="256"/>
      <c r="BX50" s="256"/>
      <c r="BY50" s="256"/>
      <c r="BZ50" s="256"/>
      <c r="CA50" s="256"/>
    </row>
    <row r="51" spans="1:124" ht="18" hidden="1" customHeight="1">
      <c r="A51" s="1386" t="s">
        <v>566</v>
      </c>
      <c r="B51" s="1386"/>
      <c r="C51" s="1386"/>
      <c r="D51" s="1386"/>
      <c r="E51" s="1386"/>
      <c r="F51" s="1386"/>
      <c r="G51" s="1386"/>
      <c r="H51" s="1386"/>
      <c r="I51" s="1386"/>
      <c r="J51" s="1386"/>
      <c r="K51" s="1386"/>
      <c r="L51" s="1386"/>
      <c r="M51" s="1386" t="s">
        <v>234</v>
      </c>
      <c r="N51" s="1386"/>
      <c r="O51" s="1386"/>
      <c r="P51" s="1386"/>
      <c r="Q51" s="1386"/>
      <c r="R51" s="1386"/>
      <c r="S51" s="1386"/>
      <c r="T51" s="1386"/>
      <c r="U51" s="1386"/>
      <c r="V51" s="1386"/>
      <c r="W51" s="1386"/>
      <c r="X51" s="1386"/>
      <c r="Y51" s="1386"/>
      <c r="Z51" s="1386"/>
      <c r="AA51" s="1386"/>
      <c r="AB51" s="1386"/>
      <c r="AC51" s="1386"/>
      <c r="AD51" s="1386"/>
      <c r="AE51" s="1386"/>
      <c r="AF51" s="1386"/>
      <c r="AG51" s="1387" t="s">
        <v>515</v>
      </c>
      <c r="AH51" s="1387"/>
      <c r="AI51" s="1387"/>
      <c r="AJ51" s="1387"/>
      <c r="AK51" s="1388"/>
      <c r="AL51" s="1388"/>
      <c r="AM51" s="1388"/>
      <c r="AN51" s="1388"/>
      <c r="AO51" s="843"/>
      <c r="AQ51" s="710">
        <v>1.18</v>
      </c>
      <c r="AR51" s="711" t="s">
        <v>253</v>
      </c>
      <c r="AS51" s="713"/>
      <c r="AT51" s="265"/>
      <c r="AU51" s="777" t="e">
        <f t="shared" si="40"/>
        <v>#VALUE!</v>
      </c>
      <c r="AV51" s="707"/>
      <c r="AW51" s="707"/>
      <c r="AX51" s="707"/>
      <c r="AZ51" s="711" t="s">
        <v>255</v>
      </c>
      <c r="BA51" s="721" t="e">
        <f t="shared" si="39"/>
        <v>#N/A</v>
      </c>
      <c r="BB51" s="722" t="str">
        <f t="shared" si="38"/>
        <v>0</v>
      </c>
      <c r="BE51" s="1378"/>
      <c r="BF51" s="1379"/>
      <c r="BN51" s="96" t="s">
        <v>528</v>
      </c>
      <c r="BS51" s="660" t="s">
        <v>417</v>
      </c>
      <c r="BU51" s="255"/>
      <c r="BV51" s="658" t="s">
        <v>563</v>
      </c>
      <c r="BW51" s="256"/>
      <c r="BX51" s="256"/>
      <c r="BY51" s="256"/>
      <c r="BZ51" s="256"/>
      <c r="CA51" s="256"/>
    </row>
    <row r="52" spans="1:124" ht="27.95" hidden="1" customHeight="1">
      <c r="A52" s="1380" t="s">
        <v>234</v>
      </c>
      <c r="B52" s="1381"/>
      <c r="C52" s="1381"/>
      <c r="D52" s="1381"/>
      <c r="E52" s="1381"/>
      <c r="F52" s="1381"/>
      <c r="G52" s="1381"/>
      <c r="H52" s="1381"/>
      <c r="I52" s="1382">
        <f>+AB51-E51</f>
        <v>0</v>
      </c>
      <c r="J52" s="1382"/>
      <c r="K52" s="1382"/>
      <c r="L52" s="1382"/>
      <c r="M52" s="1383"/>
      <c r="N52" s="815" t="s">
        <v>515</v>
      </c>
      <c r="O52" s="816"/>
      <c r="P52" s="816"/>
      <c r="Q52" s="816"/>
      <c r="R52" s="816"/>
      <c r="S52" s="816"/>
      <c r="T52" s="816"/>
      <c r="U52" s="816"/>
      <c r="V52" s="816"/>
      <c r="W52" s="816"/>
      <c r="X52" s="816"/>
      <c r="Y52" s="814"/>
      <c r="Z52" s="814"/>
      <c r="AA52" s="814"/>
      <c r="AB52" s="814"/>
      <c r="AC52" s="814"/>
      <c r="AD52" s="814"/>
      <c r="AE52" s="814"/>
      <c r="AF52" s="814"/>
      <c r="AG52" s="1384">
        <f>+AK51-E51</f>
        <v>0</v>
      </c>
      <c r="AH52" s="1384"/>
      <c r="AI52" s="1384"/>
      <c r="AJ52" s="1384"/>
      <c r="AK52" s="1384"/>
      <c r="AL52" s="1384"/>
      <c r="AM52" s="1384"/>
      <c r="AN52" s="1385"/>
      <c r="AO52" s="828"/>
      <c r="AQ52" s="710">
        <v>0.6</v>
      </c>
      <c r="AR52" s="711" t="s">
        <v>254</v>
      </c>
      <c r="AS52" s="713"/>
      <c r="AT52" s="265"/>
      <c r="AU52" s="777" t="e">
        <f t="shared" si="40"/>
        <v>#VALUE!</v>
      </c>
      <c r="AV52" s="707"/>
      <c r="AW52" s="707"/>
      <c r="AX52" s="707"/>
      <c r="AZ52" s="711" t="s">
        <v>256</v>
      </c>
      <c r="BA52" s="721" t="e">
        <f t="shared" si="39"/>
        <v>#N/A</v>
      </c>
      <c r="BB52" s="722" t="str">
        <f t="shared" si="38"/>
        <v>0</v>
      </c>
      <c r="BN52" s="657" t="s">
        <v>413</v>
      </c>
      <c r="BS52" s="657" t="s">
        <v>529</v>
      </c>
      <c r="BU52" s="255"/>
      <c r="BV52" s="658" t="s">
        <v>530</v>
      </c>
      <c r="BW52" s="256"/>
      <c r="BX52" s="256"/>
      <c r="BY52" s="256"/>
      <c r="BZ52" s="256"/>
      <c r="CA52" s="256"/>
    </row>
    <row r="53" spans="1:124" ht="39.75" hidden="1" customHeight="1">
      <c r="A53" s="1358" t="s">
        <v>371</v>
      </c>
      <c r="B53" s="1359"/>
      <c r="C53" s="1359"/>
      <c r="D53" s="1360"/>
      <c r="E53" s="1364" t="s">
        <v>370</v>
      </c>
      <c r="F53" s="1365"/>
      <c r="G53" s="1365"/>
      <c r="H53" s="1366"/>
      <c r="I53" s="1370" t="s">
        <v>532</v>
      </c>
      <c r="J53" s="1371"/>
      <c r="K53" s="1371"/>
      <c r="L53" s="1371"/>
      <c r="M53" s="1371"/>
      <c r="N53" s="1371"/>
      <c r="O53" s="1371"/>
      <c r="P53" s="1372"/>
      <c r="Y53" s="1376" t="s">
        <v>247</v>
      </c>
      <c r="Z53" s="1376"/>
      <c r="AA53" s="1376"/>
      <c r="AB53" s="1376"/>
      <c r="AC53" s="1376"/>
      <c r="AD53" s="1376"/>
      <c r="AE53" s="1376"/>
      <c r="AF53" s="1376"/>
      <c r="AG53" s="810" t="s">
        <v>532</v>
      </c>
      <c r="AH53" s="811"/>
      <c r="AI53" s="811"/>
      <c r="AJ53" s="811"/>
      <c r="AK53" s="811"/>
      <c r="AL53" s="811"/>
      <c r="AM53" s="811"/>
      <c r="AN53" s="812"/>
      <c r="AO53" s="844"/>
      <c r="AQ53" s="710">
        <v>0.43</v>
      </c>
      <c r="AR53" s="711" t="s">
        <v>255</v>
      </c>
      <c r="AS53" s="713"/>
      <c r="AT53" s="265"/>
      <c r="AU53" s="777" t="e">
        <f t="shared" si="40"/>
        <v>#VALUE!</v>
      </c>
      <c r="AV53" s="707"/>
      <c r="AW53" s="707"/>
      <c r="AX53" s="707"/>
      <c r="BC53" s="809"/>
      <c r="BD53" s="723"/>
      <c r="BN53" s="660" t="s">
        <v>416</v>
      </c>
      <c r="BS53" s="657" t="s">
        <v>531</v>
      </c>
      <c r="BU53" s="255"/>
      <c r="BV53" s="658" t="s">
        <v>530</v>
      </c>
      <c r="BW53" s="256"/>
      <c r="BX53" s="256"/>
      <c r="BY53" s="256"/>
      <c r="BZ53" s="256"/>
      <c r="CA53" s="256"/>
    </row>
    <row r="54" spans="1:124" ht="14.1" hidden="1" customHeight="1">
      <c r="A54" s="1361"/>
      <c r="B54" s="1362"/>
      <c r="C54" s="1362"/>
      <c r="D54" s="1363"/>
      <c r="E54" s="1367"/>
      <c r="F54" s="1368"/>
      <c r="G54" s="1368"/>
      <c r="H54" s="1369"/>
      <c r="I54" s="1373"/>
      <c r="J54" s="1374"/>
      <c r="K54" s="1374"/>
      <c r="L54" s="1374"/>
      <c r="M54" s="1374"/>
      <c r="N54" s="1374"/>
      <c r="O54" s="1374"/>
      <c r="P54" s="1375"/>
      <c r="Y54" s="1376" t="s">
        <v>90</v>
      </c>
      <c r="Z54" s="1376"/>
      <c r="AA54" s="1376"/>
      <c r="AB54" s="1376"/>
      <c r="AC54" s="1376" t="s">
        <v>42</v>
      </c>
      <c r="AD54" s="1376"/>
      <c r="AE54" s="1376"/>
      <c r="AF54" s="1376"/>
      <c r="AG54" s="774"/>
      <c r="AH54" s="775"/>
      <c r="AI54" s="775"/>
      <c r="AJ54" s="775"/>
      <c r="AK54" s="775"/>
      <c r="AL54" s="775"/>
      <c r="AM54" s="775"/>
      <c r="AN54" s="776"/>
      <c r="AO54" s="844"/>
      <c r="AQ54" s="710">
        <v>0.3</v>
      </c>
      <c r="AR54" s="711" t="s">
        <v>256</v>
      </c>
      <c r="AS54" s="713"/>
      <c r="AT54" s="265"/>
      <c r="AU54" s="777" t="e">
        <f t="shared" si="40"/>
        <v>#VALUE!</v>
      </c>
      <c r="AV54" s="707"/>
      <c r="AW54" s="707"/>
      <c r="AX54" s="707"/>
      <c r="BN54" s="660" t="s">
        <v>415</v>
      </c>
      <c r="BS54" s="657" t="s">
        <v>413</v>
      </c>
      <c r="BU54" s="255"/>
      <c r="BV54" s="658"/>
      <c r="BW54" s="256"/>
      <c r="BX54" s="256"/>
      <c r="BY54" s="256"/>
      <c r="BZ54" s="256"/>
      <c r="CA54" s="256"/>
    </row>
    <row r="55" spans="1:124" ht="12.95" hidden="1" customHeight="1">
      <c r="A55" s="1353" t="str">
        <f>+IFERROR(AJ55,"")</f>
        <v/>
      </c>
      <c r="B55" s="1353"/>
      <c r="C55" s="1353"/>
      <c r="D55" s="1353"/>
      <c r="E55" s="1342" t="str">
        <f t="shared" ref="E55:E61" si="41">+IF(A55="","",AR35)</f>
        <v/>
      </c>
      <c r="F55" s="1343"/>
      <c r="G55" s="1343"/>
      <c r="H55" s="1344"/>
      <c r="I55" s="1355">
        <v>0</v>
      </c>
      <c r="J55" s="1355"/>
      <c r="K55" s="1355"/>
      <c r="L55" s="1355"/>
      <c r="M55" s="1355"/>
      <c r="N55" s="1355"/>
      <c r="O55" s="1355"/>
      <c r="P55" s="1355"/>
      <c r="Y55" s="1346" t="e">
        <f t="shared" ref="Y55:Y76" si="42">IF($I$52="","",IF(I55="","",(I55/$I$52)*100))</f>
        <v>#DIV/0!</v>
      </c>
      <c r="Z55" s="1347"/>
      <c r="AA55" s="1347"/>
      <c r="AB55" s="1348"/>
      <c r="AC55" s="1346" t="e">
        <f>IF(I52="","",IF(Y55="","",(100-Y55)))</f>
        <v>#DIV/0!</v>
      </c>
      <c r="AD55" s="1347"/>
      <c r="AE55" s="1347"/>
      <c r="AF55" s="1348"/>
      <c r="AG55" s="1349">
        <f t="shared" ref="AG55:AG62" si="43">+I55</f>
        <v>0</v>
      </c>
      <c r="AH55" s="1350"/>
      <c r="AI55" s="1351"/>
      <c r="AJ55" s="1352" t="e">
        <f>IF((VLOOKUP(AQ35,$A$15:$D$24,1,0))="#N/A","",VLOOKUP(AQ35,$A$15:$D$24,1,0))</f>
        <v>#N/A</v>
      </c>
      <c r="AK55" s="1352"/>
      <c r="AL55" s="1352"/>
      <c r="AM55" s="1352"/>
      <c r="AN55" s="793"/>
      <c r="AO55" s="845"/>
      <c r="AQ55" s="710">
        <v>0.18</v>
      </c>
      <c r="AR55" s="711" t="s">
        <v>412</v>
      </c>
      <c r="AS55" s="713"/>
      <c r="AT55" s="265"/>
      <c r="AU55" s="878" t="e">
        <f t="shared" si="40"/>
        <v>#VALUE!</v>
      </c>
      <c r="AV55" s="707"/>
      <c r="AW55" s="707"/>
      <c r="AX55" s="707"/>
      <c r="BN55" s="660" t="s">
        <v>414</v>
      </c>
      <c r="BS55" s="660" t="s">
        <v>416</v>
      </c>
      <c r="BV55" s="658" t="s">
        <v>533</v>
      </c>
    </row>
    <row r="56" spans="1:124" ht="38.1" hidden="1" customHeight="1">
      <c r="A56" s="1353" t="str">
        <f t="shared" ref="A56:A76" si="44">+IFERROR(AJ56,"")</f>
        <v/>
      </c>
      <c r="B56" s="1353"/>
      <c r="C56" s="1353"/>
      <c r="D56" s="1353"/>
      <c r="E56" s="1342" t="str">
        <f t="shared" si="41"/>
        <v/>
      </c>
      <c r="F56" s="1343"/>
      <c r="G56" s="1343"/>
      <c r="H56" s="1344"/>
      <c r="I56" s="1355">
        <v>0</v>
      </c>
      <c r="J56" s="1355"/>
      <c r="K56" s="1355"/>
      <c r="L56" s="1355"/>
      <c r="M56" s="1355"/>
      <c r="N56" s="1355"/>
      <c r="O56" s="1355"/>
      <c r="P56" s="1355"/>
      <c r="Y56" s="1346" t="e">
        <f t="shared" si="42"/>
        <v>#DIV/0!</v>
      </c>
      <c r="Z56" s="1347"/>
      <c r="AA56" s="1347"/>
      <c r="AB56" s="1348"/>
      <c r="AC56" s="1346" t="e">
        <f t="shared" ref="AC56:AC76" si="45">IF($I$12="","",IF(Y56="","",(AC55-Y56)))</f>
        <v>#DIV/0!</v>
      </c>
      <c r="AD56" s="1347"/>
      <c r="AE56" s="1347"/>
      <c r="AF56" s="1348"/>
      <c r="AG56" s="1349">
        <f t="shared" si="43"/>
        <v>0</v>
      </c>
      <c r="AH56" s="1350"/>
      <c r="AI56" s="1351"/>
      <c r="AJ56" s="1352" t="e">
        <f t="shared" ref="AJ56:AJ61" si="46">+VLOOKUP(AQ36,$A$15:$D$24,1,0)</f>
        <v>#N/A</v>
      </c>
      <c r="AK56" s="1352"/>
      <c r="AL56" s="1352"/>
      <c r="AM56" s="1352"/>
      <c r="AN56" s="793"/>
      <c r="AO56" s="845"/>
      <c r="AQ56" s="710">
        <v>0.15</v>
      </c>
      <c r="AR56" s="711" t="s">
        <v>257</v>
      </c>
      <c r="AS56" s="713"/>
      <c r="AT56" s="265"/>
      <c r="AU56" s="778" t="e">
        <f>+SUM(AU50:AU55)/100</f>
        <v>#VALUE!</v>
      </c>
      <c r="AV56" s="707"/>
      <c r="AW56" s="707"/>
      <c r="AX56" s="707"/>
      <c r="BN56" s="662" t="s">
        <v>480</v>
      </c>
      <c r="BS56" s="660" t="s">
        <v>415</v>
      </c>
      <c r="BU56" s="255"/>
      <c r="BV56" s="658" t="s">
        <v>533</v>
      </c>
    </row>
    <row r="57" spans="1:124" ht="16.5" hidden="1" customHeight="1">
      <c r="A57" s="1353" t="str">
        <f t="shared" si="44"/>
        <v/>
      </c>
      <c r="B57" s="1353"/>
      <c r="C57" s="1353"/>
      <c r="D57" s="1353"/>
      <c r="E57" s="1342" t="str">
        <f t="shared" si="41"/>
        <v/>
      </c>
      <c r="F57" s="1343"/>
      <c r="G57" s="1343"/>
      <c r="H57" s="1344"/>
      <c r="I57" s="1355">
        <v>0</v>
      </c>
      <c r="J57" s="1355"/>
      <c r="K57" s="1355"/>
      <c r="L57" s="1355"/>
      <c r="M57" s="1355"/>
      <c r="N57" s="1355"/>
      <c r="O57" s="1355"/>
      <c r="P57" s="1355"/>
      <c r="Q57" s="71"/>
      <c r="R57" s="71"/>
      <c r="S57" s="71"/>
      <c r="T57" s="71"/>
      <c r="U57" s="71"/>
      <c r="V57" s="71"/>
      <c r="W57" s="71"/>
      <c r="X57" s="71"/>
      <c r="Y57" s="1346" t="e">
        <f t="shared" si="42"/>
        <v>#DIV/0!</v>
      </c>
      <c r="Z57" s="1347"/>
      <c r="AA57" s="1347"/>
      <c r="AB57" s="1348"/>
      <c r="AC57" s="1346" t="e">
        <f t="shared" si="45"/>
        <v>#DIV/0!</v>
      </c>
      <c r="AD57" s="1347"/>
      <c r="AE57" s="1347"/>
      <c r="AF57" s="1348"/>
      <c r="AG57" s="1349">
        <f t="shared" si="43"/>
        <v>0</v>
      </c>
      <c r="AH57" s="1350"/>
      <c r="AI57" s="1351"/>
      <c r="AJ57" s="1352" t="e">
        <f t="shared" si="46"/>
        <v>#N/A</v>
      </c>
      <c r="AK57" s="1352"/>
      <c r="AL57" s="1352"/>
      <c r="AM57" s="1352"/>
      <c r="AN57" s="793"/>
      <c r="AO57" s="845"/>
      <c r="AQ57" s="710">
        <v>7.4999999999999997E-2</v>
      </c>
      <c r="AR57" s="711" t="s">
        <v>258</v>
      </c>
      <c r="AT57" s="265"/>
      <c r="AU57" s="777"/>
      <c r="BN57" s="662" t="s">
        <v>479</v>
      </c>
      <c r="BS57" s="660" t="s">
        <v>414</v>
      </c>
      <c r="BU57" s="255"/>
      <c r="BV57" s="658" t="s">
        <v>533</v>
      </c>
    </row>
    <row r="58" spans="1:124" ht="16.5" hidden="1" customHeight="1">
      <c r="A58" s="1353" t="str">
        <f t="shared" si="44"/>
        <v/>
      </c>
      <c r="B58" s="1353"/>
      <c r="C58" s="1353"/>
      <c r="D58" s="1353"/>
      <c r="E58" s="1342" t="str">
        <f t="shared" si="41"/>
        <v/>
      </c>
      <c r="F58" s="1343"/>
      <c r="G58" s="1343"/>
      <c r="H58" s="1344"/>
      <c r="I58" s="1355">
        <v>0</v>
      </c>
      <c r="J58" s="1355"/>
      <c r="K58" s="1355"/>
      <c r="L58" s="1355"/>
      <c r="M58" s="1355"/>
      <c r="N58" s="1355"/>
      <c r="O58" s="1355"/>
      <c r="P58" s="1355"/>
      <c r="Q58" s="72"/>
      <c r="R58" s="72"/>
      <c r="S58" s="72"/>
      <c r="T58" s="72"/>
      <c r="U58" s="72"/>
      <c r="V58" s="72"/>
      <c r="W58" s="72"/>
      <c r="X58" s="72"/>
      <c r="Y58" s="1346" t="e">
        <f t="shared" si="42"/>
        <v>#DIV/0!</v>
      </c>
      <c r="Z58" s="1347"/>
      <c r="AA58" s="1347"/>
      <c r="AB58" s="1348"/>
      <c r="AC58" s="1346" t="e">
        <f t="shared" si="45"/>
        <v>#DIV/0!</v>
      </c>
      <c r="AD58" s="1347"/>
      <c r="AE58" s="1347"/>
      <c r="AF58" s="1348"/>
      <c r="AG58" s="1349">
        <f t="shared" si="43"/>
        <v>0</v>
      </c>
      <c r="AH58" s="1350"/>
      <c r="AI58" s="1351"/>
      <c r="AJ58" s="1352" t="e">
        <f t="shared" si="46"/>
        <v>#N/A</v>
      </c>
      <c r="AK58" s="1352"/>
      <c r="AL58" s="1352"/>
      <c r="AM58" s="1352"/>
      <c r="AN58" s="793"/>
      <c r="AO58" s="845"/>
      <c r="AQ58" s="712" t="s">
        <v>42</v>
      </c>
      <c r="AR58" s="711" t="s">
        <v>458</v>
      </c>
      <c r="AT58" s="265"/>
      <c r="AU58" s="777"/>
      <c r="BN58" s="662" t="s">
        <v>478</v>
      </c>
      <c r="BS58" s="662" t="s">
        <v>480</v>
      </c>
      <c r="BU58" s="255"/>
      <c r="BV58" s="658" t="s">
        <v>534</v>
      </c>
    </row>
    <row r="59" spans="1:124" s="71" customFormat="1" ht="16.5" hidden="1" customHeight="1">
      <c r="A59" s="1353" t="str">
        <f t="shared" si="44"/>
        <v/>
      </c>
      <c r="B59" s="1353"/>
      <c r="C59" s="1353"/>
      <c r="D59" s="1353"/>
      <c r="E59" s="1342" t="str">
        <f t="shared" si="41"/>
        <v/>
      </c>
      <c r="F59" s="1343"/>
      <c r="G59" s="1343"/>
      <c r="H59" s="1344"/>
      <c r="I59" s="1355">
        <v>0</v>
      </c>
      <c r="J59" s="1355"/>
      <c r="K59" s="1355"/>
      <c r="L59" s="1355"/>
      <c r="M59" s="1355"/>
      <c r="N59" s="1355"/>
      <c r="O59" s="1355"/>
      <c r="P59" s="1355"/>
      <c r="Q59" s="67"/>
      <c r="R59" s="67"/>
      <c r="S59" s="67"/>
      <c r="T59" s="67"/>
      <c r="U59" s="67"/>
      <c r="V59" s="67"/>
      <c r="W59" s="67"/>
      <c r="X59" s="67"/>
      <c r="Y59" s="1346" t="e">
        <f t="shared" si="42"/>
        <v>#DIV/0!</v>
      </c>
      <c r="Z59" s="1347"/>
      <c r="AA59" s="1347"/>
      <c r="AB59" s="1348"/>
      <c r="AC59" s="1346" t="e">
        <f t="shared" si="45"/>
        <v>#DIV/0!</v>
      </c>
      <c r="AD59" s="1347"/>
      <c r="AE59" s="1347"/>
      <c r="AF59" s="1348"/>
      <c r="AG59" s="1349">
        <f t="shared" si="43"/>
        <v>0</v>
      </c>
      <c r="AH59" s="1350"/>
      <c r="AI59" s="1351"/>
      <c r="AJ59" s="1352" t="e">
        <f t="shared" si="46"/>
        <v>#N/A</v>
      </c>
      <c r="AK59" s="1352"/>
      <c r="AL59" s="1352"/>
      <c r="AM59" s="1352"/>
      <c r="AN59" s="793"/>
      <c r="AO59" s="845"/>
      <c r="AP59" s="96"/>
      <c r="AQ59" s="69"/>
      <c r="AR59" s="69"/>
      <c r="AS59" s="69"/>
      <c r="AT59" s="265"/>
      <c r="AU59" s="779"/>
      <c r="AV59" s="69"/>
      <c r="AW59" s="69"/>
      <c r="AX59" s="69"/>
      <c r="AY59" s="69"/>
      <c r="AZ59" s="96"/>
      <c r="BA59" s="96"/>
      <c r="BB59" s="96"/>
      <c r="BC59" s="96"/>
      <c r="BD59" s="96"/>
      <c r="BE59" s="69"/>
      <c r="BF59" s="69"/>
      <c r="BG59" s="69"/>
      <c r="BH59" s="69"/>
      <c r="BI59" s="69"/>
      <c r="BJ59" s="69"/>
      <c r="BK59" s="69"/>
      <c r="BL59" s="69"/>
      <c r="BM59" s="69"/>
      <c r="BN59" s="266" t="s">
        <v>535</v>
      </c>
      <c r="BO59" s="69"/>
      <c r="BP59" s="69"/>
      <c r="BQ59" s="69"/>
      <c r="BR59" s="69"/>
      <c r="BS59" s="662" t="s">
        <v>479</v>
      </c>
      <c r="BT59" s="70"/>
      <c r="BU59" s="255"/>
      <c r="BV59" s="658" t="s">
        <v>534</v>
      </c>
      <c r="BW59" s="70"/>
      <c r="BX59" s="70"/>
      <c r="BY59" s="70"/>
      <c r="BZ59" s="70"/>
      <c r="CA59" s="70"/>
      <c r="CB59" s="70"/>
      <c r="CC59" s="70"/>
      <c r="CD59" s="70"/>
      <c r="CE59" s="70"/>
      <c r="CF59" s="70"/>
      <c r="CG59" s="70"/>
      <c r="CH59" s="70"/>
      <c r="CI59" s="70"/>
      <c r="CJ59" s="70"/>
      <c r="CK59" s="70"/>
      <c r="CL59" s="70"/>
      <c r="CM59" s="70"/>
      <c r="CN59" s="70"/>
      <c r="CO59" s="70"/>
      <c r="CP59" s="70"/>
      <c r="CQ59" s="70"/>
      <c r="CR59" s="70"/>
      <c r="CS59" s="70"/>
      <c r="CT59" s="663"/>
      <c r="CU59" s="663"/>
      <c r="CV59" s="663"/>
      <c r="CW59" s="663"/>
      <c r="CX59" s="663"/>
      <c r="CY59" s="663"/>
      <c r="CZ59" s="663"/>
      <c r="DA59" s="663"/>
      <c r="DB59" s="663"/>
      <c r="DC59" s="663"/>
      <c r="DD59" s="663"/>
      <c r="DE59" s="663"/>
      <c r="DF59" s="671"/>
      <c r="DG59" s="671"/>
      <c r="DH59" s="671"/>
      <c r="DI59" s="671"/>
      <c r="DJ59" s="671"/>
      <c r="DK59" s="671"/>
      <c r="DL59" s="671"/>
      <c r="DM59" s="671"/>
      <c r="DN59" s="671"/>
      <c r="DO59" s="671"/>
      <c r="DP59" s="671"/>
      <c r="DQ59" s="671"/>
      <c r="DR59" s="671"/>
      <c r="DS59" s="671"/>
      <c r="DT59" s="671"/>
    </row>
    <row r="60" spans="1:124" s="72" customFormat="1" ht="16.5" hidden="1" customHeight="1">
      <c r="A60" s="1353" t="str">
        <f t="shared" si="44"/>
        <v/>
      </c>
      <c r="B60" s="1353"/>
      <c r="C60" s="1353"/>
      <c r="D60" s="1353"/>
      <c r="E60" s="1342" t="str">
        <f t="shared" si="41"/>
        <v/>
      </c>
      <c r="F60" s="1343"/>
      <c r="G60" s="1343"/>
      <c r="H60" s="1344"/>
      <c r="I60" s="1355">
        <v>0</v>
      </c>
      <c r="J60" s="1355"/>
      <c r="K60" s="1355"/>
      <c r="L60" s="1355"/>
      <c r="M60" s="1355"/>
      <c r="N60" s="1355"/>
      <c r="O60" s="1355"/>
      <c r="P60" s="1355"/>
      <c r="Q60" s="67"/>
      <c r="R60" s="67"/>
      <c r="S60" s="67"/>
      <c r="T60" s="67"/>
      <c r="U60" s="67"/>
      <c r="V60" s="67"/>
      <c r="W60" s="67"/>
      <c r="X60" s="67"/>
      <c r="Y60" s="1346" t="e">
        <f t="shared" si="42"/>
        <v>#DIV/0!</v>
      </c>
      <c r="Z60" s="1347"/>
      <c r="AA60" s="1347"/>
      <c r="AB60" s="1348"/>
      <c r="AC60" s="1346" t="e">
        <f t="shared" si="45"/>
        <v>#DIV/0!</v>
      </c>
      <c r="AD60" s="1347"/>
      <c r="AE60" s="1347"/>
      <c r="AF60" s="1348"/>
      <c r="AG60" s="1349">
        <f t="shared" si="43"/>
        <v>0</v>
      </c>
      <c r="AH60" s="1350"/>
      <c r="AI60" s="1351"/>
      <c r="AJ60" s="1352" t="e">
        <f t="shared" si="46"/>
        <v>#N/A</v>
      </c>
      <c r="AK60" s="1352"/>
      <c r="AL60" s="1352"/>
      <c r="AM60" s="1352"/>
      <c r="AN60" s="793"/>
      <c r="AO60" s="845"/>
      <c r="AP60" s="69"/>
      <c r="AQ60" s="664"/>
      <c r="AR60" s="664"/>
      <c r="AS60" s="664"/>
      <c r="AT60" s="265"/>
      <c r="AU60" s="779"/>
      <c r="AV60" s="664"/>
      <c r="AW60" s="664"/>
      <c r="AX60" s="664"/>
      <c r="AY60" s="664"/>
      <c r="AZ60" s="96"/>
      <c r="BA60" s="96"/>
      <c r="BB60" s="96"/>
      <c r="BC60" s="96"/>
      <c r="BD60" s="96"/>
      <c r="BE60" s="664"/>
      <c r="BF60" s="664"/>
      <c r="BG60" s="664"/>
      <c r="BH60" s="664"/>
      <c r="BI60" s="664"/>
      <c r="BJ60" s="664"/>
      <c r="BK60" s="664"/>
      <c r="BL60" s="664"/>
      <c r="BM60" s="664"/>
      <c r="BN60" s="266" t="s">
        <v>562</v>
      </c>
      <c r="BO60" s="664"/>
      <c r="BP60" s="664"/>
      <c r="BQ60" s="664"/>
      <c r="BR60" s="664"/>
      <c r="BS60" s="662" t="s">
        <v>478</v>
      </c>
      <c r="BT60" s="701"/>
      <c r="BU60" s="701"/>
      <c r="BV60" s="658" t="s">
        <v>534</v>
      </c>
      <c r="BW60" s="701"/>
      <c r="BX60" s="701"/>
      <c r="BY60" s="701"/>
      <c r="BZ60" s="701"/>
      <c r="CA60" s="701"/>
      <c r="CB60" s="701"/>
      <c r="CC60" s="701"/>
      <c r="CD60" s="701"/>
      <c r="CE60" s="701"/>
      <c r="CF60" s="701"/>
      <c r="CG60" s="701"/>
      <c r="CH60" s="701"/>
      <c r="CI60" s="701"/>
      <c r="CJ60" s="701"/>
      <c r="CK60" s="701"/>
      <c r="CL60" s="701"/>
      <c r="CM60" s="701"/>
      <c r="CN60" s="701"/>
      <c r="CO60" s="701"/>
      <c r="CP60" s="701"/>
      <c r="CQ60" s="701"/>
      <c r="CR60" s="701"/>
      <c r="CS60" s="701"/>
      <c r="CT60" s="1357"/>
      <c r="CU60" s="1357"/>
      <c r="CV60" s="1357"/>
      <c r="CW60" s="1357"/>
      <c r="CX60" s="1357"/>
      <c r="CY60" s="1357"/>
      <c r="CZ60" s="1357"/>
      <c r="DA60" s="1357"/>
      <c r="DB60" s="1357"/>
      <c r="DC60" s="1357"/>
      <c r="DD60" s="1357"/>
      <c r="DE60" s="1357"/>
      <c r="DF60" s="1357"/>
      <c r="DG60" s="1357"/>
      <c r="DH60" s="1357"/>
      <c r="DI60" s="1357"/>
      <c r="DJ60" s="1357"/>
      <c r="DK60" s="1357"/>
      <c r="DL60" s="1357"/>
      <c r="DM60" s="1357"/>
      <c r="DN60" s="1357"/>
      <c r="DO60" s="1357"/>
      <c r="DP60" s="1357"/>
      <c r="DQ60" s="1357"/>
      <c r="DR60" s="1357"/>
      <c r="DS60" s="1357"/>
      <c r="DT60" s="1357"/>
    </row>
    <row r="61" spans="1:124" s="67" customFormat="1" ht="16.5" hidden="1" customHeight="1">
      <c r="A61" s="1353" t="str">
        <f t="shared" si="44"/>
        <v/>
      </c>
      <c r="B61" s="1353"/>
      <c r="C61" s="1353"/>
      <c r="D61" s="1353"/>
      <c r="E61" s="1342" t="str">
        <f t="shared" si="41"/>
        <v/>
      </c>
      <c r="F61" s="1343"/>
      <c r="G61" s="1343"/>
      <c r="H61" s="1344"/>
      <c r="I61" s="1355"/>
      <c r="J61" s="1355"/>
      <c r="K61" s="1355"/>
      <c r="L61" s="1355"/>
      <c r="M61" s="1355"/>
      <c r="N61" s="1355"/>
      <c r="O61" s="1355"/>
      <c r="P61" s="1355"/>
      <c r="Y61" s="1346" t="str">
        <f t="shared" si="42"/>
        <v/>
      </c>
      <c r="Z61" s="1347"/>
      <c r="AA61" s="1347"/>
      <c r="AB61" s="1348"/>
      <c r="AC61" s="1346" t="str">
        <f t="shared" si="45"/>
        <v/>
      </c>
      <c r="AD61" s="1347"/>
      <c r="AE61" s="1347"/>
      <c r="AF61" s="1348"/>
      <c r="AG61" s="1349">
        <f t="shared" si="43"/>
        <v>0</v>
      </c>
      <c r="AH61" s="1350"/>
      <c r="AI61" s="1351"/>
      <c r="AJ61" s="1352" t="e">
        <f t="shared" si="46"/>
        <v>#N/A</v>
      </c>
      <c r="AK61" s="1352"/>
      <c r="AL61" s="1352"/>
      <c r="AM61" s="1352"/>
      <c r="AN61" s="793"/>
      <c r="AO61" s="845"/>
      <c r="AP61" s="264"/>
      <c r="AQ61" s="265"/>
      <c r="AR61" s="265"/>
      <c r="AS61" s="265"/>
      <c r="AT61" s="265"/>
      <c r="AU61" s="265"/>
      <c r="AV61" s="265"/>
      <c r="AW61" s="265"/>
      <c r="AX61" s="265"/>
      <c r="AY61" s="265"/>
      <c r="AZ61" s="69"/>
      <c r="BA61" s="69"/>
      <c r="BB61" s="69"/>
      <c r="BC61" s="69"/>
      <c r="BD61" s="69"/>
      <c r="BE61" s="265"/>
      <c r="BF61" s="265"/>
      <c r="BG61" s="265"/>
      <c r="BH61" s="265"/>
      <c r="BI61" s="265"/>
      <c r="BJ61" s="265"/>
      <c r="BK61" s="265"/>
      <c r="BL61" s="265"/>
      <c r="BM61" s="265"/>
      <c r="BN61" s="266" t="s">
        <v>561</v>
      </c>
      <c r="BO61" s="265"/>
      <c r="BP61" s="265"/>
      <c r="BQ61" s="265"/>
      <c r="BR61" s="265"/>
      <c r="BS61" s="657" t="s">
        <v>535</v>
      </c>
      <c r="BT61" s="266"/>
      <c r="BU61" s="266"/>
      <c r="BV61" s="658" t="s">
        <v>536</v>
      </c>
      <c r="BW61" s="266"/>
      <c r="BX61" s="266"/>
      <c r="BY61" s="266"/>
      <c r="BZ61" s="266"/>
      <c r="CA61" s="266"/>
      <c r="CB61" s="266"/>
      <c r="CC61" s="266"/>
      <c r="CD61" s="266"/>
      <c r="CE61" s="266"/>
      <c r="CF61" s="266"/>
      <c r="CG61" s="266"/>
      <c r="CH61" s="266"/>
      <c r="CI61" s="266"/>
      <c r="CJ61" s="266"/>
      <c r="CK61" s="266"/>
      <c r="CL61" s="266"/>
      <c r="CM61" s="266"/>
      <c r="CN61" s="266"/>
      <c r="CO61" s="266"/>
      <c r="CP61" s="266"/>
      <c r="CQ61" s="266"/>
      <c r="CR61" s="266"/>
      <c r="CS61" s="266"/>
      <c r="CT61" s="657"/>
      <c r="CU61" s="657"/>
      <c r="CV61" s="657"/>
      <c r="CW61" s="657"/>
      <c r="CX61" s="657"/>
      <c r="CY61" s="657"/>
      <c r="CZ61" s="657"/>
      <c r="DA61" s="657"/>
      <c r="DB61" s="657"/>
      <c r="DC61" s="657"/>
      <c r="DD61" s="657"/>
      <c r="DE61" s="657"/>
      <c r="DF61" s="657"/>
      <c r="DG61" s="657"/>
      <c r="DH61" s="657"/>
      <c r="DI61" s="657"/>
      <c r="DJ61" s="657"/>
      <c r="DK61" s="657"/>
      <c r="DL61" s="657"/>
      <c r="DM61" s="657"/>
      <c r="DN61" s="657"/>
      <c r="DO61" s="657"/>
      <c r="DP61" s="657"/>
      <c r="DQ61" s="657"/>
      <c r="DR61" s="657"/>
      <c r="DS61" s="657"/>
      <c r="DT61" s="657"/>
    </row>
    <row r="62" spans="1:124" s="67" customFormat="1" ht="16.5" hidden="1" customHeight="1">
      <c r="A62" s="1353" t="str">
        <f t="shared" si="44"/>
        <v/>
      </c>
      <c r="B62" s="1353"/>
      <c r="C62" s="1353"/>
      <c r="D62" s="1353"/>
      <c r="E62" s="1342" t="str">
        <f t="shared" ref="E62:E75" si="47">+IF(A62="","",AR44)</f>
        <v/>
      </c>
      <c r="F62" s="1343"/>
      <c r="G62" s="1343"/>
      <c r="H62" s="1344"/>
      <c r="I62" s="1355"/>
      <c r="J62" s="1355"/>
      <c r="K62" s="1355"/>
      <c r="L62" s="1355"/>
      <c r="M62" s="1355"/>
      <c r="N62" s="1355"/>
      <c r="O62" s="1355"/>
      <c r="P62" s="1355"/>
      <c r="Y62" s="1346" t="str">
        <f t="shared" si="42"/>
        <v/>
      </c>
      <c r="Z62" s="1347"/>
      <c r="AA62" s="1347"/>
      <c r="AB62" s="1348"/>
      <c r="AC62" s="1346" t="str">
        <f t="shared" si="45"/>
        <v/>
      </c>
      <c r="AD62" s="1347"/>
      <c r="AE62" s="1347"/>
      <c r="AF62" s="1348"/>
      <c r="AG62" s="1349">
        <f t="shared" si="43"/>
        <v>0</v>
      </c>
      <c r="AH62" s="1350"/>
      <c r="AI62" s="1351"/>
      <c r="AJ62" s="1352" t="e">
        <f t="shared" ref="AJ62:AJ75" si="48">+VLOOKUP(AQ44,$A$15:$D$24,1,0)</f>
        <v>#N/A</v>
      </c>
      <c r="AK62" s="1352"/>
      <c r="AL62" s="1352"/>
      <c r="AM62" s="1352"/>
      <c r="AN62" s="793"/>
      <c r="AO62" s="845"/>
      <c r="AP62" s="265"/>
      <c r="AQ62" s="265"/>
      <c r="AR62" s="265"/>
      <c r="AS62" s="265"/>
      <c r="AT62" s="265"/>
      <c r="AU62" s="265"/>
      <c r="AV62" s="265"/>
      <c r="AW62" s="265"/>
      <c r="AX62" s="265"/>
      <c r="AY62" s="265"/>
      <c r="AZ62" s="664"/>
      <c r="BA62" s="664"/>
      <c r="BB62" s="664"/>
      <c r="BC62" s="664"/>
      <c r="BD62" s="664"/>
      <c r="BE62" s="265"/>
      <c r="BF62" s="265"/>
      <c r="BG62" s="265"/>
      <c r="BH62" s="265"/>
      <c r="BI62" s="265"/>
      <c r="BJ62" s="265"/>
      <c r="BK62" s="265"/>
      <c r="BL62" s="265"/>
      <c r="BM62" s="265"/>
      <c r="BN62" s="663" t="s">
        <v>474</v>
      </c>
      <c r="BO62" s="265"/>
      <c r="BP62" s="265"/>
      <c r="BQ62" s="265"/>
      <c r="BR62" s="265"/>
      <c r="BS62" s="657" t="s">
        <v>562</v>
      </c>
      <c r="BT62" s="266"/>
      <c r="BU62" s="266"/>
      <c r="BV62" s="658" t="s">
        <v>537</v>
      </c>
      <c r="BW62" s="266"/>
      <c r="BX62" s="266"/>
      <c r="BY62" s="266"/>
      <c r="BZ62" s="266"/>
      <c r="CA62" s="266"/>
      <c r="CB62" s="266"/>
      <c r="CC62" s="266"/>
      <c r="CD62" s="266"/>
      <c r="CE62" s="266"/>
      <c r="CF62" s="266"/>
      <c r="CG62" s="266"/>
      <c r="CH62" s="266"/>
      <c r="CI62" s="266"/>
      <c r="CJ62" s="266"/>
      <c r="CK62" s="266"/>
      <c r="CL62" s="266"/>
      <c r="CM62" s="266"/>
      <c r="CN62" s="266"/>
      <c r="CO62" s="266"/>
      <c r="CP62" s="266"/>
      <c r="CQ62" s="266"/>
      <c r="CR62" s="266"/>
      <c r="CS62" s="266"/>
      <c r="CT62" s="657"/>
      <c r="CU62" s="657"/>
      <c r="CV62" s="657"/>
      <c r="CW62" s="657"/>
      <c r="CX62" s="657"/>
      <c r="CY62" s="657"/>
      <c r="CZ62" s="657"/>
      <c r="DA62" s="657"/>
      <c r="DB62" s="657"/>
      <c r="DC62" s="657"/>
      <c r="DD62" s="657"/>
      <c r="DE62" s="657"/>
      <c r="DF62" s="657"/>
      <c r="DG62" s="657"/>
      <c r="DH62" s="657"/>
      <c r="DI62" s="657"/>
      <c r="DJ62" s="657"/>
      <c r="DK62" s="657"/>
      <c r="DL62" s="657"/>
      <c r="DM62" s="657"/>
      <c r="DN62" s="672"/>
      <c r="DO62" s="672"/>
      <c r="DP62" s="672"/>
      <c r="DQ62" s="672"/>
      <c r="DR62" s="672"/>
      <c r="DS62" s="672"/>
      <c r="DT62" s="672"/>
    </row>
    <row r="63" spans="1:124" s="67" customFormat="1" ht="16.5" hidden="1" customHeight="1">
      <c r="A63" s="1354">
        <f>IF(I52="","",AQ45)</f>
        <v>12.5</v>
      </c>
      <c r="B63" s="1353"/>
      <c r="C63" s="1353"/>
      <c r="D63" s="1353"/>
      <c r="E63" s="1342" t="str">
        <f t="shared" si="47"/>
        <v>1/2"</v>
      </c>
      <c r="F63" s="1343"/>
      <c r="G63" s="1343"/>
      <c r="H63" s="1344"/>
      <c r="I63" s="1355"/>
      <c r="J63" s="1355"/>
      <c r="K63" s="1355"/>
      <c r="L63" s="1355"/>
      <c r="M63" s="1355"/>
      <c r="N63" s="1355"/>
      <c r="O63" s="1355"/>
      <c r="P63" s="1355"/>
      <c r="Y63" s="1346" t="str">
        <f t="shared" si="42"/>
        <v/>
      </c>
      <c r="Z63" s="1347"/>
      <c r="AA63" s="1347"/>
      <c r="AB63" s="1348"/>
      <c r="AC63" s="1346" t="str">
        <f t="shared" si="45"/>
        <v/>
      </c>
      <c r="AD63" s="1347"/>
      <c r="AE63" s="1347"/>
      <c r="AF63" s="1348"/>
      <c r="AG63" s="1356" t="str">
        <f>IF(AP66=E63,I63,"")</f>
        <v/>
      </c>
      <c r="AH63" s="1350"/>
      <c r="AI63" s="1351"/>
      <c r="AJ63" s="1352" t="e">
        <f t="shared" si="48"/>
        <v>#N/A</v>
      </c>
      <c r="AK63" s="1352"/>
      <c r="AL63" s="1352"/>
      <c r="AM63" s="1352"/>
      <c r="AN63" s="793"/>
      <c r="AO63" s="845"/>
      <c r="AP63" s="265"/>
      <c r="AQ63" s="265"/>
      <c r="AR63" s="265"/>
      <c r="AS63" s="265"/>
      <c r="AT63" s="265"/>
      <c r="AU63" s="265"/>
      <c r="AV63" s="265"/>
      <c r="AW63" s="265"/>
      <c r="AX63" s="265"/>
      <c r="AY63" s="265"/>
      <c r="AZ63" s="265"/>
      <c r="BA63" s="265"/>
      <c r="BB63" s="265"/>
      <c r="BC63" s="265"/>
      <c r="BD63" s="265"/>
      <c r="BE63" s="265"/>
      <c r="BF63" s="265"/>
      <c r="BG63" s="265"/>
      <c r="BH63" s="265"/>
      <c r="BI63" s="265"/>
      <c r="BJ63" s="265"/>
      <c r="BK63" s="265"/>
      <c r="BL63" s="265"/>
      <c r="BM63" s="265"/>
      <c r="BN63" s="265"/>
      <c r="BO63" s="265"/>
      <c r="BP63" s="265"/>
      <c r="BQ63" s="265"/>
      <c r="BR63" s="265"/>
      <c r="BS63" s="657" t="s">
        <v>561</v>
      </c>
      <c r="BT63" s="266"/>
      <c r="BU63" s="266"/>
      <c r="BV63" s="658" t="s">
        <v>537</v>
      </c>
      <c r="BW63" s="266"/>
      <c r="BX63" s="266"/>
      <c r="BY63" s="266"/>
      <c r="BZ63" s="266"/>
      <c r="CA63" s="266"/>
      <c r="CB63" s="266"/>
      <c r="CC63" s="266"/>
      <c r="CD63" s="266"/>
      <c r="CE63" s="266"/>
      <c r="CF63" s="266"/>
      <c r="CG63" s="266"/>
      <c r="CH63" s="266"/>
      <c r="CI63" s="266"/>
      <c r="CJ63" s="266"/>
      <c r="CK63" s="266"/>
      <c r="CL63" s="266"/>
      <c r="CM63" s="266"/>
      <c r="CN63" s="266"/>
      <c r="CO63" s="266"/>
      <c r="CP63" s="266"/>
      <c r="CQ63" s="266"/>
      <c r="CR63" s="266"/>
      <c r="CS63" s="266"/>
      <c r="CT63" s="657"/>
      <c r="CU63" s="657"/>
      <c r="CV63" s="657"/>
      <c r="CW63" s="657"/>
      <c r="CX63" s="657"/>
      <c r="CY63" s="657"/>
      <c r="CZ63" s="657"/>
      <c r="DA63" s="657"/>
      <c r="DB63" s="657"/>
      <c r="DC63" s="657"/>
      <c r="DD63" s="657"/>
      <c r="DE63" s="657"/>
      <c r="DF63" s="657"/>
      <c r="DG63" s="657"/>
      <c r="DH63" s="657"/>
      <c r="DI63" s="657"/>
      <c r="DJ63" s="657"/>
      <c r="DK63" s="657"/>
      <c r="DL63" s="657"/>
      <c r="DM63" s="657"/>
      <c r="DN63" s="672"/>
      <c r="DO63" s="672"/>
      <c r="DP63" s="672"/>
      <c r="DQ63" s="672"/>
      <c r="DR63" s="672"/>
      <c r="DS63" s="672"/>
      <c r="DT63" s="672"/>
    </row>
    <row r="64" spans="1:124" s="67" customFormat="1" ht="16.5" hidden="1" customHeight="1">
      <c r="A64" s="1353" t="str">
        <f t="shared" si="44"/>
        <v/>
      </c>
      <c r="B64" s="1353"/>
      <c r="C64" s="1353"/>
      <c r="D64" s="1353"/>
      <c r="E64" s="1342" t="str">
        <f t="shared" si="47"/>
        <v/>
      </c>
      <c r="F64" s="1343"/>
      <c r="G64" s="1343"/>
      <c r="H64" s="1344"/>
      <c r="I64" s="1355"/>
      <c r="J64" s="1355"/>
      <c r="K64" s="1355"/>
      <c r="L64" s="1355"/>
      <c r="M64" s="1355"/>
      <c r="N64" s="1355"/>
      <c r="O64" s="1355"/>
      <c r="P64" s="1355"/>
      <c r="Q64" s="73"/>
      <c r="R64" s="73"/>
      <c r="S64" s="73"/>
      <c r="T64" s="73"/>
      <c r="U64" s="73"/>
      <c r="V64" s="73"/>
      <c r="W64" s="73"/>
      <c r="X64" s="73"/>
      <c r="Y64" s="1346" t="str">
        <f t="shared" si="42"/>
        <v/>
      </c>
      <c r="Z64" s="1347"/>
      <c r="AA64" s="1347"/>
      <c r="AB64" s="1348"/>
      <c r="AC64" s="1346" t="str">
        <f t="shared" si="45"/>
        <v/>
      </c>
      <c r="AD64" s="1347"/>
      <c r="AE64" s="1347"/>
      <c r="AF64" s="1348"/>
      <c r="AG64" s="1356">
        <f>IF(AG63="",I63+I64,I64)</f>
        <v>0</v>
      </c>
      <c r="AH64" s="1350"/>
      <c r="AI64" s="1351"/>
      <c r="AJ64" s="1352" t="e">
        <f t="shared" si="48"/>
        <v>#N/A</v>
      </c>
      <c r="AK64" s="1352"/>
      <c r="AL64" s="1352"/>
      <c r="AM64" s="1352"/>
      <c r="AN64" s="793"/>
      <c r="AO64" s="84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5"/>
      <c r="BR64" s="265"/>
      <c r="BS64" s="663" t="s">
        <v>474</v>
      </c>
      <c r="BT64" s="266"/>
      <c r="BU64" s="341"/>
      <c r="BV64" s="658" t="s">
        <v>538</v>
      </c>
      <c r="BW64" s="266"/>
      <c r="BX64" s="266"/>
      <c r="BY64" s="266"/>
      <c r="BZ64" s="266"/>
      <c r="CA64" s="266"/>
      <c r="CB64" s="266"/>
      <c r="CC64" s="266"/>
      <c r="CD64" s="266"/>
      <c r="CE64" s="266"/>
      <c r="CF64" s="266"/>
      <c r="CG64" s="266"/>
      <c r="CH64" s="266"/>
      <c r="CI64" s="266"/>
      <c r="CJ64" s="266"/>
      <c r="CK64" s="266"/>
      <c r="CL64" s="266"/>
      <c r="CM64" s="266"/>
      <c r="CN64" s="266"/>
      <c r="CO64" s="266"/>
      <c r="CP64" s="266"/>
      <c r="CQ64" s="266"/>
      <c r="CR64" s="266"/>
      <c r="CS64" s="266"/>
      <c r="CT64" s="657"/>
      <c r="CU64" s="657"/>
      <c r="CV64" s="673"/>
      <c r="CW64" s="657"/>
      <c r="CX64" s="657"/>
      <c r="CY64" s="657"/>
      <c r="CZ64" s="657"/>
      <c r="DA64" s="657"/>
      <c r="DB64" s="657"/>
      <c r="DC64" s="657"/>
      <c r="DD64" s="657"/>
      <c r="DE64" s="657"/>
      <c r="DF64" s="657"/>
      <c r="DG64" s="657"/>
      <c r="DH64" s="657"/>
      <c r="DI64" s="657"/>
      <c r="DJ64" s="657"/>
      <c r="DK64" s="657"/>
      <c r="DL64" s="657"/>
      <c r="DM64" s="657"/>
      <c r="DN64" s="672"/>
      <c r="DO64" s="672"/>
      <c r="DP64" s="672"/>
      <c r="DQ64" s="672"/>
      <c r="DR64" s="672"/>
      <c r="DS64" s="672"/>
      <c r="DT64" s="672"/>
    </row>
    <row r="65" spans="1:124" s="67" customFormat="1" ht="16.5" hidden="1" customHeight="1">
      <c r="A65" s="1354">
        <f>IF(I52="","",AQ47)</f>
        <v>6.35</v>
      </c>
      <c r="B65" s="1353"/>
      <c r="C65" s="1353"/>
      <c r="D65" s="1353"/>
      <c r="E65" s="1342" t="str">
        <f t="shared" si="47"/>
        <v>1/4"</v>
      </c>
      <c r="F65" s="1343"/>
      <c r="G65" s="1343"/>
      <c r="H65" s="1344"/>
      <c r="I65" s="1345"/>
      <c r="J65" s="1345"/>
      <c r="K65" s="1345"/>
      <c r="L65" s="1345"/>
      <c r="M65" s="1345"/>
      <c r="N65" s="1345"/>
      <c r="O65" s="1345"/>
      <c r="P65" s="1345"/>
      <c r="Y65" s="1346" t="str">
        <f t="shared" si="42"/>
        <v/>
      </c>
      <c r="Z65" s="1347"/>
      <c r="AA65" s="1347"/>
      <c r="AB65" s="1348"/>
      <c r="AC65" s="1346" t="str">
        <f t="shared" si="45"/>
        <v/>
      </c>
      <c r="AD65" s="1347"/>
      <c r="AE65" s="1347"/>
      <c r="AF65" s="1348"/>
      <c r="AG65" s="1349" t="str">
        <f>IF(AP67=E65,I65,"")</f>
        <v/>
      </c>
      <c r="AH65" s="1350"/>
      <c r="AI65" s="1351"/>
      <c r="AJ65" s="1352" t="e">
        <f t="shared" si="48"/>
        <v>#N/A</v>
      </c>
      <c r="AK65" s="1352"/>
      <c r="AL65" s="1352"/>
      <c r="AM65" s="1352"/>
      <c r="AN65" s="793"/>
      <c r="AO65" s="845"/>
      <c r="AP65" s="265"/>
      <c r="AS65" s="265"/>
      <c r="AT65" s="265"/>
      <c r="AU65" s="265"/>
      <c r="AV65" s="265"/>
      <c r="AW65" s="265"/>
      <c r="AX65" s="265"/>
      <c r="AY65" s="265"/>
      <c r="AZ65" s="265"/>
      <c r="BA65" s="265"/>
      <c r="BB65" s="265"/>
      <c r="BC65" s="265"/>
      <c r="BD65" s="265"/>
      <c r="BE65" s="265"/>
      <c r="BF65" s="265"/>
      <c r="BG65" s="265"/>
      <c r="BH65" s="265"/>
      <c r="BI65" s="265"/>
      <c r="BJ65" s="265"/>
      <c r="BK65" s="265"/>
      <c r="BL65" s="265"/>
      <c r="BM65" s="265"/>
      <c r="BN65" s="265"/>
      <c r="BO65" s="265"/>
      <c r="BP65" s="265"/>
      <c r="BQ65" s="265"/>
      <c r="BR65" s="265"/>
      <c r="BT65" s="266"/>
      <c r="BU65" s="341"/>
      <c r="BV65" s="341"/>
      <c r="BW65" s="341"/>
      <c r="BX65" s="341"/>
      <c r="BY65" s="341"/>
      <c r="BZ65" s="341"/>
      <c r="CA65" s="341"/>
      <c r="CB65" s="341"/>
      <c r="CC65" s="266"/>
      <c r="CD65" s="266"/>
      <c r="CE65" s="266"/>
      <c r="CF65" s="266"/>
      <c r="CG65" s="266"/>
      <c r="CH65" s="266"/>
      <c r="CI65" s="266"/>
      <c r="CJ65" s="266"/>
      <c r="CK65" s="266"/>
      <c r="CL65" s="266"/>
      <c r="CM65" s="266"/>
      <c r="CN65" s="266"/>
      <c r="CO65" s="266"/>
      <c r="CP65" s="266"/>
      <c r="CQ65" s="266"/>
      <c r="CR65" s="266"/>
      <c r="CS65" s="266"/>
      <c r="CT65" s="673"/>
      <c r="CU65" s="657"/>
      <c r="CV65" s="673"/>
      <c r="CW65" s="657"/>
      <c r="CX65" s="657"/>
      <c r="CY65" s="657"/>
      <c r="CZ65" s="657"/>
      <c r="DA65" s="657"/>
      <c r="DB65" s="657"/>
      <c r="DC65" s="673"/>
      <c r="DD65" s="657"/>
      <c r="DE65" s="657"/>
      <c r="DF65" s="657"/>
      <c r="DG65" s="657"/>
      <c r="DH65" s="657"/>
      <c r="DI65" s="657"/>
      <c r="DJ65" s="657"/>
      <c r="DK65" s="657"/>
      <c r="DL65" s="657"/>
      <c r="DM65" s="657"/>
      <c r="DN65" s="672"/>
      <c r="DO65" s="672"/>
      <c r="DP65" s="672"/>
      <c r="DQ65" s="672"/>
      <c r="DR65" s="672"/>
      <c r="DS65" s="672"/>
      <c r="DT65" s="672"/>
    </row>
    <row r="66" spans="1:124" s="73" customFormat="1" ht="16.5" hidden="1" customHeight="1">
      <c r="A66" s="1353" t="str">
        <f t="shared" si="44"/>
        <v/>
      </c>
      <c r="B66" s="1353"/>
      <c r="C66" s="1353"/>
      <c r="D66" s="1353"/>
      <c r="E66" s="1342" t="str">
        <f t="shared" si="47"/>
        <v/>
      </c>
      <c r="F66" s="1343"/>
      <c r="G66" s="1343"/>
      <c r="H66" s="1344"/>
      <c r="I66" s="1345"/>
      <c r="J66" s="1345"/>
      <c r="K66" s="1345"/>
      <c r="L66" s="1345"/>
      <c r="M66" s="1345"/>
      <c r="N66" s="1345"/>
      <c r="O66" s="1345"/>
      <c r="P66" s="1345"/>
      <c r="Q66" s="67"/>
      <c r="R66" s="67"/>
      <c r="S66" s="67"/>
      <c r="T66" s="67"/>
      <c r="U66" s="67"/>
      <c r="V66" s="67"/>
      <c r="W66" s="67"/>
      <c r="X66" s="67"/>
      <c r="Y66" s="1346" t="str">
        <f t="shared" si="42"/>
        <v/>
      </c>
      <c r="Z66" s="1347"/>
      <c r="AA66" s="1347"/>
      <c r="AB66" s="1348"/>
      <c r="AC66" s="1346" t="str">
        <f t="shared" si="45"/>
        <v/>
      </c>
      <c r="AD66" s="1347"/>
      <c r="AE66" s="1347"/>
      <c r="AF66" s="1348"/>
      <c r="AG66" s="1349">
        <f>IF(AG65="",I65+I66,I66)</f>
        <v>0</v>
      </c>
      <c r="AH66" s="1350"/>
      <c r="AI66" s="1351"/>
      <c r="AJ66" s="1352" t="e">
        <f t="shared" si="48"/>
        <v>#N/A</v>
      </c>
      <c r="AK66" s="1352"/>
      <c r="AL66" s="1352"/>
      <c r="AM66" s="1352"/>
      <c r="AN66" s="793"/>
      <c r="AO66" s="845"/>
      <c r="AP66" s="265" t="str">
        <f>IFERROR(VLOOKUP(A63,$A$15:$H$24,5,0),"")</f>
        <v/>
      </c>
      <c r="AS66" s="265"/>
      <c r="AT66" s="265"/>
      <c r="AU66" s="265"/>
      <c r="AV66" s="265"/>
      <c r="AW66" s="265"/>
      <c r="AX66" s="265"/>
      <c r="AY66" s="265"/>
      <c r="AZ66" s="265"/>
      <c r="BA66" s="265"/>
      <c r="BB66" s="265"/>
      <c r="BC66" s="265"/>
      <c r="BD66" s="265"/>
      <c r="BE66" s="265"/>
      <c r="BF66" s="265"/>
      <c r="BG66" s="265"/>
      <c r="BH66" s="265"/>
      <c r="BI66" s="265"/>
      <c r="BJ66" s="265"/>
      <c r="BK66" s="265"/>
      <c r="BL66" s="265"/>
      <c r="BM66" s="265"/>
      <c r="BN66" s="265"/>
      <c r="BO66" s="265"/>
      <c r="BP66" s="265"/>
      <c r="BQ66" s="265"/>
      <c r="BR66" s="265"/>
      <c r="BS66" s="341"/>
      <c r="BT66" s="341"/>
      <c r="BU66" s="341"/>
      <c r="BV66" s="341"/>
      <c r="BW66" s="341"/>
      <c r="BX66" s="341"/>
      <c r="BY66" s="341"/>
      <c r="BZ66" s="341"/>
      <c r="CA66" s="341"/>
      <c r="CB66" s="341"/>
      <c r="CC66" s="341"/>
      <c r="CD66" s="341"/>
      <c r="CE66" s="341"/>
      <c r="CF66" s="341"/>
      <c r="CG66" s="341"/>
      <c r="CH66" s="341"/>
      <c r="CI66" s="266"/>
      <c r="CJ66" s="266"/>
      <c r="CK66" s="341"/>
      <c r="CL66" s="266"/>
      <c r="CM66" s="266"/>
      <c r="CN66" s="266"/>
      <c r="CO66" s="266"/>
      <c r="CP66" s="266"/>
      <c r="CQ66" s="266"/>
      <c r="CR66" s="266"/>
      <c r="CS66" s="266"/>
      <c r="CT66" s="673"/>
      <c r="CU66" s="673"/>
      <c r="CV66" s="673"/>
      <c r="CW66" s="673"/>
      <c r="CX66" s="673"/>
      <c r="CY66" s="673"/>
      <c r="CZ66" s="673"/>
      <c r="DA66" s="673"/>
      <c r="DB66" s="673"/>
      <c r="DC66" s="673"/>
      <c r="DD66" s="673"/>
      <c r="DE66" s="673"/>
      <c r="DF66" s="673"/>
      <c r="DG66" s="673"/>
      <c r="DH66" s="673"/>
      <c r="DI66" s="673"/>
      <c r="DJ66" s="673"/>
      <c r="DK66" s="657"/>
      <c r="DL66" s="657"/>
      <c r="DM66" s="673"/>
      <c r="DN66" s="672"/>
      <c r="DO66" s="672"/>
      <c r="DP66" s="672"/>
      <c r="DQ66" s="672"/>
      <c r="DR66" s="672"/>
      <c r="DS66" s="672"/>
      <c r="DT66" s="672"/>
    </row>
    <row r="67" spans="1:124" s="67" customFormat="1" ht="16.5" hidden="1" customHeight="1">
      <c r="A67" s="1353" t="str">
        <f t="shared" si="44"/>
        <v/>
      </c>
      <c r="B67" s="1353"/>
      <c r="C67" s="1353"/>
      <c r="D67" s="1353"/>
      <c r="E67" s="1342" t="str">
        <f t="shared" si="47"/>
        <v/>
      </c>
      <c r="F67" s="1343"/>
      <c r="G67" s="1343"/>
      <c r="H67" s="1344"/>
      <c r="I67" s="1345"/>
      <c r="J67" s="1345"/>
      <c r="K67" s="1345"/>
      <c r="L67" s="1345"/>
      <c r="M67" s="1345"/>
      <c r="N67" s="1345"/>
      <c r="O67" s="1345"/>
      <c r="P67" s="1345"/>
      <c r="Q67" s="71"/>
      <c r="R67" s="71"/>
      <c r="S67" s="71"/>
      <c r="T67" s="71"/>
      <c r="U67" s="71"/>
      <c r="V67" s="71"/>
      <c r="W67" s="71"/>
      <c r="X67" s="71"/>
      <c r="Y67" s="1346" t="str">
        <f t="shared" si="42"/>
        <v/>
      </c>
      <c r="Z67" s="1347"/>
      <c r="AA67" s="1347"/>
      <c r="AB67" s="1348"/>
      <c r="AC67" s="1346" t="str">
        <f t="shared" si="45"/>
        <v/>
      </c>
      <c r="AD67" s="1347"/>
      <c r="AE67" s="1347"/>
      <c r="AF67" s="1348"/>
      <c r="AG67" s="1349">
        <f t="shared" ref="AG67:AG76" si="49">+I67</f>
        <v>0</v>
      </c>
      <c r="AH67" s="1350"/>
      <c r="AI67" s="1351"/>
      <c r="AJ67" s="1352" t="e">
        <f t="shared" si="48"/>
        <v>#N/A</v>
      </c>
      <c r="AK67" s="1352"/>
      <c r="AL67" s="1352"/>
      <c r="AM67" s="1352"/>
      <c r="AN67" s="793"/>
      <c r="AO67" s="845"/>
      <c r="AP67" s="265" t="str">
        <f>IFERROR(VLOOKUP(A65,$A$15:$H$24,5,0),"")</f>
        <v/>
      </c>
      <c r="AS67" s="265"/>
      <c r="AT67" s="265"/>
      <c r="AU67" s="265"/>
      <c r="AV67" s="265"/>
      <c r="AW67" s="265"/>
      <c r="AX67" s="265"/>
      <c r="AY67" s="265"/>
      <c r="AZ67" s="265"/>
      <c r="BA67" s="265"/>
      <c r="BB67" s="265"/>
      <c r="BC67" s="265"/>
      <c r="BD67" s="265"/>
      <c r="BE67" s="265"/>
      <c r="BF67" s="265"/>
      <c r="BG67" s="265"/>
      <c r="BH67" s="265"/>
      <c r="BI67" s="265"/>
      <c r="BJ67" s="265"/>
      <c r="BK67" s="265"/>
      <c r="BL67" s="265"/>
      <c r="BM67" s="265"/>
      <c r="BN67" s="265"/>
      <c r="BO67" s="265"/>
      <c r="BP67" s="265"/>
      <c r="BQ67" s="265"/>
      <c r="BR67" s="265"/>
      <c r="BS67" s="341"/>
      <c r="BT67" s="341"/>
      <c r="BU67" s="343"/>
      <c r="BV67" s="341"/>
      <c r="BW67" s="341"/>
      <c r="BX67" s="341"/>
      <c r="BY67" s="341"/>
      <c r="BZ67" s="341"/>
      <c r="CA67" s="341"/>
      <c r="CB67" s="341"/>
      <c r="CC67" s="341"/>
      <c r="CD67" s="341"/>
      <c r="CE67" s="341"/>
      <c r="CF67" s="341"/>
      <c r="CG67" s="341"/>
      <c r="CH67" s="341"/>
      <c r="CI67" s="266"/>
      <c r="CJ67" s="341"/>
      <c r="CK67" s="341"/>
      <c r="CL67" s="266"/>
      <c r="CM67" s="266"/>
      <c r="CN67" s="266"/>
      <c r="CO67" s="266"/>
      <c r="CP67" s="266"/>
      <c r="CQ67" s="266"/>
      <c r="CR67" s="266"/>
      <c r="CS67" s="266"/>
      <c r="CT67" s="673"/>
      <c r="CU67" s="673"/>
      <c r="CV67" s="797"/>
      <c r="CW67" s="673"/>
      <c r="CX67" s="673"/>
      <c r="CY67" s="673"/>
      <c r="CZ67" s="673"/>
      <c r="DA67" s="673"/>
      <c r="DB67" s="673"/>
      <c r="DC67" s="673"/>
      <c r="DD67" s="673"/>
      <c r="DE67" s="673"/>
      <c r="DF67" s="673"/>
      <c r="DG67" s="673"/>
      <c r="DH67" s="673"/>
      <c r="DI67" s="673"/>
      <c r="DJ67" s="673"/>
      <c r="DK67" s="657"/>
      <c r="DL67" s="673"/>
      <c r="DM67" s="673"/>
      <c r="DN67" s="672"/>
      <c r="DO67" s="672"/>
      <c r="DP67" s="672"/>
      <c r="DQ67" s="672"/>
      <c r="DR67" s="672"/>
      <c r="DS67" s="672"/>
      <c r="DT67" s="672"/>
    </row>
    <row r="68" spans="1:124" s="67" customFormat="1" ht="16.5" hidden="1" customHeight="1">
      <c r="A68" s="1353" t="str">
        <f t="shared" si="44"/>
        <v/>
      </c>
      <c r="B68" s="1353"/>
      <c r="C68" s="1353"/>
      <c r="D68" s="1353"/>
      <c r="E68" s="1342" t="str">
        <f t="shared" si="47"/>
        <v/>
      </c>
      <c r="F68" s="1343"/>
      <c r="G68" s="1343"/>
      <c r="H68" s="1344"/>
      <c r="I68" s="1345"/>
      <c r="J68" s="1345"/>
      <c r="K68" s="1345"/>
      <c r="L68" s="1345"/>
      <c r="M68" s="1345"/>
      <c r="N68" s="1345"/>
      <c r="O68" s="1345"/>
      <c r="P68" s="1345"/>
      <c r="Q68" s="71"/>
      <c r="R68" s="71"/>
      <c r="S68" s="71"/>
      <c r="T68" s="71"/>
      <c r="U68" s="71"/>
      <c r="V68" s="71"/>
      <c r="W68" s="71"/>
      <c r="X68" s="71"/>
      <c r="Y68" s="1346" t="str">
        <f t="shared" si="42"/>
        <v/>
      </c>
      <c r="Z68" s="1347"/>
      <c r="AA68" s="1347"/>
      <c r="AB68" s="1348"/>
      <c r="AC68" s="1346" t="str">
        <f t="shared" si="45"/>
        <v/>
      </c>
      <c r="AD68" s="1347"/>
      <c r="AE68" s="1347"/>
      <c r="AF68" s="1348"/>
      <c r="AG68" s="1349">
        <f t="shared" si="49"/>
        <v>0</v>
      </c>
      <c r="AH68" s="1350"/>
      <c r="AI68" s="1351"/>
      <c r="AJ68" s="1352" t="e">
        <f t="shared" si="48"/>
        <v>#N/A</v>
      </c>
      <c r="AK68" s="1352"/>
      <c r="AL68" s="1352"/>
      <c r="AM68" s="1352"/>
      <c r="AN68" s="793"/>
      <c r="AO68" s="845"/>
      <c r="AP68" s="265" t="s">
        <v>540</v>
      </c>
      <c r="AS68" s="265"/>
      <c r="AT68" s="265"/>
      <c r="AU68" s="265"/>
      <c r="AV68" s="265"/>
      <c r="AW68" s="265"/>
      <c r="AX68" s="265"/>
      <c r="AY68" s="265"/>
      <c r="AZ68" s="265"/>
      <c r="BA68" s="265"/>
      <c r="BB68" s="265"/>
      <c r="BC68" s="265"/>
      <c r="BD68" s="265"/>
      <c r="BE68" s="265"/>
      <c r="BF68" s="265"/>
      <c r="BG68" s="265"/>
      <c r="BH68" s="265"/>
      <c r="BI68" s="265"/>
      <c r="BJ68" s="265"/>
      <c r="BK68" s="265"/>
      <c r="BL68" s="265"/>
      <c r="BM68" s="265"/>
      <c r="BN68" s="265"/>
      <c r="BO68" s="265"/>
      <c r="BP68" s="265"/>
      <c r="BQ68" s="265"/>
      <c r="BR68" s="265"/>
      <c r="BS68" s="343"/>
      <c r="BT68" s="343"/>
      <c r="BU68" s="343"/>
      <c r="BV68" s="343"/>
      <c r="BW68" s="343"/>
      <c r="BX68" s="343"/>
      <c r="BY68" s="343"/>
      <c r="BZ68" s="343"/>
      <c r="CA68" s="343"/>
      <c r="CB68" s="341"/>
      <c r="CC68" s="341"/>
      <c r="CD68" s="341"/>
      <c r="CE68" s="341"/>
      <c r="CF68" s="341"/>
      <c r="CG68" s="341"/>
      <c r="CH68" s="341"/>
      <c r="CI68" s="341"/>
      <c r="CJ68" s="341"/>
      <c r="CK68" s="341"/>
      <c r="CL68" s="340"/>
      <c r="CM68" s="340"/>
      <c r="CN68" s="340"/>
      <c r="CO68" s="340"/>
      <c r="CP68" s="340"/>
      <c r="CQ68" s="340"/>
      <c r="CR68" s="340"/>
      <c r="CS68" s="339"/>
      <c r="CT68" s="797"/>
      <c r="CU68" s="797"/>
      <c r="CV68" s="797"/>
      <c r="CW68" s="797"/>
      <c r="CX68" s="797"/>
      <c r="CY68" s="797"/>
      <c r="CZ68" s="797"/>
      <c r="DA68" s="797"/>
      <c r="DB68" s="797"/>
      <c r="DC68" s="673"/>
      <c r="DD68" s="673"/>
      <c r="DE68" s="673"/>
      <c r="DF68" s="673"/>
      <c r="DG68" s="673"/>
      <c r="DH68" s="673"/>
      <c r="DI68" s="673"/>
      <c r="DJ68" s="673"/>
      <c r="DK68" s="673"/>
      <c r="DL68" s="673"/>
      <c r="DM68" s="673"/>
      <c r="DN68" s="672"/>
      <c r="DO68" s="672"/>
      <c r="DP68" s="672"/>
      <c r="DQ68" s="672"/>
      <c r="DR68" s="672"/>
      <c r="DS68" s="672"/>
      <c r="DT68" s="672"/>
    </row>
    <row r="69" spans="1:124" s="71" customFormat="1" ht="16.5" hidden="1" customHeight="1">
      <c r="A69" s="1353" t="str">
        <f t="shared" si="44"/>
        <v/>
      </c>
      <c r="B69" s="1353"/>
      <c r="C69" s="1353"/>
      <c r="D69" s="1353"/>
      <c r="E69" s="1342" t="str">
        <f t="shared" si="47"/>
        <v/>
      </c>
      <c r="F69" s="1343"/>
      <c r="G69" s="1343"/>
      <c r="H69" s="1344"/>
      <c r="I69" s="1345"/>
      <c r="J69" s="1345"/>
      <c r="K69" s="1345"/>
      <c r="L69" s="1345"/>
      <c r="M69" s="1345"/>
      <c r="N69" s="1345"/>
      <c r="O69" s="1345"/>
      <c r="P69" s="1345"/>
      <c r="Y69" s="1346" t="str">
        <f t="shared" si="42"/>
        <v/>
      </c>
      <c r="Z69" s="1347"/>
      <c r="AA69" s="1347"/>
      <c r="AB69" s="1348"/>
      <c r="AC69" s="1346" t="str">
        <f t="shared" si="45"/>
        <v/>
      </c>
      <c r="AD69" s="1347"/>
      <c r="AE69" s="1347"/>
      <c r="AF69" s="1348"/>
      <c r="AG69" s="1349">
        <f t="shared" si="49"/>
        <v>0</v>
      </c>
      <c r="AH69" s="1350"/>
      <c r="AI69" s="1351"/>
      <c r="AJ69" s="1352" t="e">
        <f t="shared" si="48"/>
        <v>#N/A</v>
      </c>
      <c r="AK69" s="1352"/>
      <c r="AL69" s="1352"/>
      <c r="AM69" s="1352"/>
      <c r="AN69" s="793"/>
      <c r="AO69" s="845"/>
      <c r="AP69" s="265">
        <f>+SUM(I67:P76)</f>
        <v>0</v>
      </c>
      <c r="AS69" s="265"/>
      <c r="AT69" s="265"/>
      <c r="AU69" s="265"/>
      <c r="AV69" s="265"/>
      <c r="AW69" s="265"/>
      <c r="AX69" s="265"/>
      <c r="AY69" s="265"/>
      <c r="AZ69" s="265"/>
      <c r="BA69" s="265"/>
      <c r="BB69" s="265"/>
      <c r="BC69" s="265"/>
      <c r="BD69" s="265"/>
      <c r="BE69" s="265"/>
      <c r="BF69" s="265"/>
      <c r="BG69" s="265"/>
      <c r="BH69" s="265"/>
      <c r="BI69" s="265"/>
      <c r="BJ69" s="265"/>
      <c r="BK69" s="265"/>
      <c r="BL69" s="265"/>
      <c r="BM69" s="265"/>
      <c r="BN69" s="265"/>
      <c r="BO69" s="265"/>
      <c r="BP69" s="265"/>
      <c r="BQ69" s="265"/>
      <c r="BR69" s="265"/>
      <c r="BS69" s="341"/>
      <c r="BT69" s="341"/>
      <c r="BU69" s="341"/>
      <c r="BV69" s="341"/>
      <c r="BW69" s="341"/>
      <c r="BX69" s="341"/>
      <c r="BY69" s="341"/>
      <c r="BZ69" s="341"/>
      <c r="CA69" s="341"/>
      <c r="CB69" s="341"/>
      <c r="CC69" s="344"/>
      <c r="CD69" s="341"/>
      <c r="CE69" s="341"/>
      <c r="CF69" s="341"/>
      <c r="CG69" s="341"/>
      <c r="CH69" s="341"/>
      <c r="CI69" s="341"/>
      <c r="CJ69" s="341"/>
      <c r="CK69" s="341"/>
      <c r="CL69" s="266"/>
      <c r="CM69" s="266"/>
      <c r="CN69" s="266"/>
      <c r="CO69" s="266"/>
      <c r="CP69" s="266"/>
      <c r="CQ69" s="266"/>
      <c r="CR69" s="266"/>
      <c r="CS69" s="266"/>
      <c r="CT69" s="673"/>
      <c r="CU69" s="673"/>
      <c r="CV69" s="673"/>
      <c r="CW69" s="673"/>
      <c r="CX69" s="673"/>
      <c r="CY69" s="673"/>
      <c r="CZ69" s="673"/>
      <c r="DA69" s="673"/>
      <c r="DB69" s="673"/>
      <c r="DC69" s="673"/>
      <c r="DD69" s="673"/>
      <c r="DE69" s="673"/>
      <c r="DF69" s="673"/>
      <c r="DG69" s="673"/>
      <c r="DH69" s="673"/>
      <c r="DI69" s="673"/>
      <c r="DJ69" s="673"/>
      <c r="DK69" s="673"/>
      <c r="DL69" s="673"/>
      <c r="DM69" s="673"/>
      <c r="DN69" s="672"/>
      <c r="DO69" s="672"/>
      <c r="DP69" s="672"/>
      <c r="DQ69" s="672"/>
      <c r="DR69" s="672"/>
      <c r="DS69" s="672"/>
      <c r="DT69" s="672"/>
    </row>
    <row r="70" spans="1:124" s="71" customFormat="1" ht="16.5" hidden="1" customHeight="1">
      <c r="A70" s="1353" t="str">
        <f t="shared" si="44"/>
        <v/>
      </c>
      <c r="B70" s="1353"/>
      <c r="C70" s="1353"/>
      <c r="D70" s="1353"/>
      <c r="E70" s="1342" t="str">
        <f t="shared" si="47"/>
        <v/>
      </c>
      <c r="F70" s="1343"/>
      <c r="G70" s="1343"/>
      <c r="H70" s="1344"/>
      <c r="I70" s="1345"/>
      <c r="J70" s="1345"/>
      <c r="K70" s="1345"/>
      <c r="L70" s="1345"/>
      <c r="M70" s="1345"/>
      <c r="N70" s="1345"/>
      <c r="O70" s="1345"/>
      <c r="P70" s="1345"/>
      <c r="Q70" s="760"/>
      <c r="R70" s="760"/>
      <c r="S70" s="760"/>
      <c r="T70" s="760"/>
      <c r="U70" s="760"/>
      <c r="V70" s="760"/>
      <c r="W70" s="760"/>
      <c r="X70" s="760"/>
      <c r="Y70" s="1346" t="str">
        <f t="shared" si="42"/>
        <v/>
      </c>
      <c r="Z70" s="1347"/>
      <c r="AA70" s="1347"/>
      <c r="AB70" s="1348"/>
      <c r="AC70" s="1346" t="str">
        <f t="shared" si="45"/>
        <v/>
      </c>
      <c r="AD70" s="1347"/>
      <c r="AE70" s="1347"/>
      <c r="AF70" s="1348"/>
      <c r="AG70" s="1349">
        <f t="shared" si="49"/>
        <v>0</v>
      </c>
      <c r="AH70" s="1350"/>
      <c r="AI70" s="1351"/>
      <c r="AJ70" s="1352" t="e">
        <f t="shared" si="48"/>
        <v>#N/A</v>
      </c>
      <c r="AK70" s="1352"/>
      <c r="AL70" s="1352"/>
      <c r="AM70" s="1352"/>
      <c r="AN70" s="793"/>
      <c r="AO70" s="845"/>
      <c r="AP70" s="265"/>
      <c r="AS70" s="265"/>
      <c r="AT70" s="265"/>
      <c r="AU70" s="265"/>
      <c r="AV70" s="265"/>
      <c r="AW70" s="265"/>
      <c r="AX70" s="265"/>
      <c r="AY70" s="265"/>
      <c r="AZ70" s="265"/>
      <c r="BA70" s="265"/>
      <c r="BB70" s="265"/>
      <c r="BC70" s="265"/>
      <c r="BD70" s="265"/>
      <c r="BE70" s="265"/>
      <c r="BF70" s="265"/>
      <c r="BG70" s="265"/>
      <c r="BH70" s="265"/>
      <c r="BI70" s="265"/>
      <c r="BJ70" s="265"/>
      <c r="BK70" s="265"/>
      <c r="BL70" s="265"/>
      <c r="BM70" s="265"/>
      <c r="BN70" s="265"/>
      <c r="BO70" s="265"/>
      <c r="BP70" s="265"/>
      <c r="BQ70" s="265"/>
      <c r="BR70" s="265"/>
      <c r="BS70" s="343"/>
      <c r="BT70" s="343"/>
      <c r="BU70" s="343"/>
      <c r="BV70" s="343"/>
      <c r="BW70" s="343"/>
      <c r="BX70" s="343"/>
      <c r="BY70" s="343"/>
      <c r="BZ70" s="343"/>
      <c r="CA70" s="343"/>
      <c r="CB70" s="343"/>
      <c r="CC70" s="344"/>
      <c r="CD70" s="344"/>
      <c r="CE70" s="344"/>
      <c r="CF70" s="344"/>
      <c r="CG70" s="344"/>
      <c r="CH70" s="344"/>
      <c r="CI70" s="344"/>
      <c r="CJ70" s="344"/>
      <c r="CK70" s="344"/>
      <c r="CL70" s="339"/>
      <c r="CM70" s="339"/>
      <c r="CN70" s="339"/>
      <c r="CO70" s="339"/>
      <c r="CP70" s="339"/>
      <c r="CQ70" s="339"/>
      <c r="CR70" s="339"/>
      <c r="CS70" s="339"/>
      <c r="CT70" s="797"/>
      <c r="CU70" s="797"/>
      <c r="CV70" s="797"/>
      <c r="CW70" s="797"/>
      <c r="CX70" s="797"/>
      <c r="CY70" s="797"/>
      <c r="CZ70" s="797"/>
      <c r="DA70" s="797"/>
      <c r="DB70" s="797"/>
      <c r="DC70" s="797"/>
      <c r="DD70" s="797"/>
      <c r="DE70" s="797"/>
      <c r="DF70" s="797"/>
      <c r="DG70" s="797"/>
      <c r="DH70" s="797"/>
      <c r="DI70" s="797"/>
      <c r="DJ70" s="797"/>
      <c r="DK70" s="797"/>
      <c r="DL70" s="797"/>
      <c r="DM70" s="797"/>
      <c r="DN70" s="672"/>
      <c r="DO70" s="672"/>
      <c r="DP70" s="672"/>
      <c r="DQ70" s="672"/>
      <c r="DR70" s="672"/>
      <c r="DS70" s="672"/>
      <c r="DT70" s="672"/>
    </row>
    <row r="71" spans="1:124" s="71" customFormat="1" ht="16.5" hidden="1" customHeight="1">
      <c r="A71" s="1353" t="str">
        <f t="shared" si="44"/>
        <v/>
      </c>
      <c r="B71" s="1353"/>
      <c r="C71" s="1353"/>
      <c r="D71" s="1353"/>
      <c r="E71" s="1342" t="str">
        <f t="shared" si="47"/>
        <v/>
      </c>
      <c r="F71" s="1343"/>
      <c r="G71" s="1343"/>
      <c r="H71" s="1344"/>
      <c r="I71" s="1345"/>
      <c r="J71" s="1345"/>
      <c r="K71" s="1345"/>
      <c r="L71" s="1345"/>
      <c r="M71" s="1345"/>
      <c r="N71" s="1345"/>
      <c r="O71" s="1345"/>
      <c r="P71" s="1345"/>
      <c r="Q71" s="760"/>
      <c r="R71" s="760"/>
      <c r="S71" s="760"/>
      <c r="T71" s="760"/>
      <c r="U71" s="760"/>
      <c r="V71" s="760"/>
      <c r="W71" s="760"/>
      <c r="X71" s="760"/>
      <c r="Y71" s="1346" t="str">
        <f t="shared" si="42"/>
        <v/>
      </c>
      <c r="Z71" s="1347"/>
      <c r="AA71" s="1347"/>
      <c r="AB71" s="1348"/>
      <c r="AC71" s="1346" t="str">
        <f t="shared" si="45"/>
        <v/>
      </c>
      <c r="AD71" s="1347"/>
      <c r="AE71" s="1347"/>
      <c r="AF71" s="1348"/>
      <c r="AG71" s="1349">
        <f t="shared" si="49"/>
        <v>0</v>
      </c>
      <c r="AH71" s="1350"/>
      <c r="AI71" s="1351"/>
      <c r="AJ71" s="1352" t="e">
        <f t="shared" si="48"/>
        <v>#N/A</v>
      </c>
      <c r="AK71" s="1352"/>
      <c r="AL71" s="1352"/>
      <c r="AM71" s="1352"/>
      <c r="AN71" s="793"/>
      <c r="AO71" s="845"/>
      <c r="AP71" s="265"/>
      <c r="AS71" s="265"/>
      <c r="AT71" s="265"/>
      <c r="AU71" s="265"/>
      <c r="AV71" s="265"/>
      <c r="AW71" s="265"/>
      <c r="AX71" s="265"/>
      <c r="AY71" s="265"/>
      <c r="AZ71" s="265"/>
      <c r="BA71" s="265"/>
      <c r="BB71" s="265"/>
      <c r="BC71" s="265"/>
      <c r="BD71" s="265"/>
      <c r="BE71" s="265"/>
      <c r="BF71" s="265"/>
      <c r="BG71" s="265"/>
      <c r="BH71" s="265"/>
      <c r="BI71" s="265"/>
      <c r="BJ71" s="265"/>
      <c r="BK71" s="265"/>
      <c r="BL71" s="265"/>
      <c r="BM71" s="265"/>
      <c r="BN71" s="265"/>
      <c r="BO71" s="265"/>
      <c r="BP71" s="265"/>
      <c r="BQ71" s="265"/>
      <c r="BR71" s="265"/>
      <c r="BS71" s="341"/>
      <c r="BT71" s="341"/>
      <c r="BU71" s="341"/>
      <c r="BV71" s="341"/>
      <c r="BW71" s="341"/>
      <c r="BX71" s="341"/>
      <c r="BY71" s="341"/>
      <c r="BZ71" s="341"/>
      <c r="CA71" s="341"/>
      <c r="CB71" s="341"/>
      <c r="CC71" s="344"/>
      <c r="CD71" s="344"/>
      <c r="CE71" s="341"/>
      <c r="CF71" s="341"/>
      <c r="CG71" s="341"/>
      <c r="CH71" s="341"/>
      <c r="CI71" s="341"/>
      <c r="CJ71" s="341"/>
      <c r="CK71" s="341"/>
      <c r="CL71" s="266"/>
      <c r="CM71" s="266"/>
      <c r="CN71" s="266"/>
      <c r="CO71" s="266"/>
      <c r="CP71" s="266"/>
      <c r="CQ71" s="266"/>
      <c r="CR71" s="266"/>
      <c r="CS71" s="266"/>
      <c r="CT71" s="673"/>
      <c r="CU71" s="673"/>
      <c r="CV71" s="673"/>
      <c r="CW71" s="673"/>
      <c r="CX71" s="673"/>
      <c r="CY71" s="673"/>
      <c r="CZ71" s="673"/>
      <c r="DA71" s="673"/>
      <c r="DB71" s="673"/>
      <c r="DC71" s="673"/>
      <c r="DD71" s="673"/>
      <c r="DE71" s="673"/>
      <c r="DF71" s="673"/>
      <c r="DG71" s="673"/>
      <c r="DH71" s="673"/>
      <c r="DI71" s="673"/>
      <c r="DJ71" s="673"/>
      <c r="DK71" s="673"/>
      <c r="DL71" s="673"/>
      <c r="DM71" s="673"/>
      <c r="DN71" s="672"/>
      <c r="DO71" s="672"/>
      <c r="DP71" s="672"/>
      <c r="DQ71" s="672"/>
      <c r="DR71" s="672"/>
      <c r="DS71" s="672"/>
      <c r="DT71" s="672"/>
    </row>
    <row r="72" spans="1:124" ht="16.5" hidden="1" customHeight="1">
      <c r="A72" s="1353" t="str">
        <f t="shared" si="44"/>
        <v/>
      </c>
      <c r="B72" s="1353"/>
      <c r="C72" s="1353"/>
      <c r="D72" s="1353"/>
      <c r="E72" s="1342" t="str">
        <f t="shared" si="47"/>
        <v/>
      </c>
      <c r="F72" s="1343"/>
      <c r="G72" s="1343"/>
      <c r="H72" s="1344"/>
      <c r="I72" s="1345"/>
      <c r="J72" s="1345"/>
      <c r="K72" s="1345"/>
      <c r="L72" s="1345"/>
      <c r="M72" s="1345"/>
      <c r="N72" s="1345"/>
      <c r="O72" s="1345"/>
      <c r="P72" s="1345"/>
      <c r="Y72" s="1346" t="str">
        <f t="shared" si="42"/>
        <v/>
      </c>
      <c r="Z72" s="1347"/>
      <c r="AA72" s="1347"/>
      <c r="AB72" s="1348"/>
      <c r="AC72" s="1346" t="str">
        <f t="shared" si="45"/>
        <v/>
      </c>
      <c r="AD72" s="1347"/>
      <c r="AE72" s="1347"/>
      <c r="AF72" s="1348"/>
      <c r="AG72" s="1349">
        <f t="shared" si="49"/>
        <v>0</v>
      </c>
      <c r="AH72" s="1350"/>
      <c r="AI72" s="1351"/>
      <c r="AJ72" s="1352" t="e">
        <f t="shared" si="48"/>
        <v>#N/A</v>
      </c>
      <c r="AK72" s="1352"/>
      <c r="AL72" s="1352"/>
      <c r="AM72" s="1352"/>
      <c r="AN72" s="793"/>
      <c r="AO72" s="845"/>
      <c r="AP72" s="265"/>
      <c r="AQ72" s="760"/>
      <c r="AR72" s="760"/>
      <c r="AS72" s="265"/>
      <c r="AT72" s="265"/>
      <c r="AU72" s="265"/>
      <c r="AV72" s="265"/>
      <c r="AW72" s="265"/>
      <c r="AX72" s="265"/>
      <c r="AY72" s="265"/>
      <c r="AZ72" s="265"/>
      <c r="BA72" s="265"/>
      <c r="BB72" s="265"/>
      <c r="BC72" s="265"/>
      <c r="BD72" s="265"/>
      <c r="BE72" s="265"/>
      <c r="BF72" s="265"/>
      <c r="BG72" s="265"/>
      <c r="BH72" s="265"/>
      <c r="BI72" s="265"/>
      <c r="BJ72" s="265"/>
      <c r="BK72" s="265"/>
      <c r="BL72" s="265"/>
      <c r="BM72" s="265"/>
      <c r="BN72" s="265"/>
      <c r="BO72" s="265"/>
      <c r="BP72" s="265"/>
      <c r="BQ72" s="265"/>
      <c r="BR72" s="265"/>
      <c r="BS72" s="343"/>
      <c r="BT72" s="343"/>
      <c r="BU72" s="343"/>
      <c r="BV72" s="343"/>
      <c r="BW72" s="343"/>
      <c r="BX72" s="343"/>
      <c r="BY72" s="343"/>
      <c r="BZ72" s="343"/>
      <c r="CA72" s="343"/>
      <c r="CB72" s="342"/>
      <c r="CC72" s="344"/>
      <c r="CD72" s="344"/>
      <c r="CE72" s="343"/>
      <c r="CF72" s="343"/>
      <c r="CG72" s="343"/>
      <c r="CH72" s="343"/>
      <c r="CI72" s="343"/>
      <c r="CJ72" s="343"/>
      <c r="CK72" s="343"/>
      <c r="CL72" s="339"/>
      <c r="CM72" s="339"/>
      <c r="CN72" s="339"/>
      <c r="CO72" s="339"/>
      <c r="CP72" s="339"/>
      <c r="CQ72" s="339"/>
      <c r="CR72" s="339"/>
      <c r="CS72" s="339"/>
      <c r="CT72" s="797"/>
      <c r="CU72" s="797"/>
      <c r="CV72" s="797"/>
      <c r="CW72" s="797"/>
      <c r="CX72" s="797"/>
      <c r="CY72" s="797"/>
      <c r="CZ72" s="797"/>
      <c r="DA72" s="797"/>
      <c r="DB72" s="797"/>
      <c r="DC72" s="797"/>
      <c r="DD72" s="797"/>
      <c r="DE72" s="797"/>
      <c r="DF72" s="797"/>
      <c r="DG72" s="797"/>
      <c r="DH72" s="797"/>
      <c r="DI72" s="797"/>
      <c r="DJ72" s="797"/>
      <c r="DK72" s="797"/>
      <c r="DL72" s="797"/>
      <c r="DM72" s="797"/>
      <c r="DN72" s="672"/>
      <c r="DO72" s="672"/>
      <c r="DP72" s="672"/>
      <c r="DQ72" s="672"/>
      <c r="DR72" s="672"/>
      <c r="DS72" s="672"/>
      <c r="DT72" s="672"/>
    </row>
    <row r="73" spans="1:124" ht="16.5" hidden="1" customHeight="1">
      <c r="A73" s="1353" t="str">
        <f t="shared" si="44"/>
        <v/>
      </c>
      <c r="B73" s="1353"/>
      <c r="C73" s="1353"/>
      <c r="D73" s="1353"/>
      <c r="E73" s="1342" t="str">
        <f t="shared" si="47"/>
        <v/>
      </c>
      <c r="F73" s="1343"/>
      <c r="G73" s="1343"/>
      <c r="H73" s="1344"/>
      <c r="I73" s="1345"/>
      <c r="J73" s="1345"/>
      <c r="K73" s="1345"/>
      <c r="L73" s="1345"/>
      <c r="M73" s="1345"/>
      <c r="N73" s="1345"/>
      <c r="O73" s="1345"/>
      <c r="P73" s="1345"/>
      <c r="Y73" s="1346" t="str">
        <f t="shared" si="42"/>
        <v/>
      </c>
      <c r="Z73" s="1347"/>
      <c r="AA73" s="1347"/>
      <c r="AB73" s="1348"/>
      <c r="AC73" s="1346" t="str">
        <f t="shared" si="45"/>
        <v/>
      </c>
      <c r="AD73" s="1347"/>
      <c r="AE73" s="1347"/>
      <c r="AF73" s="1348"/>
      <c r="AG73" s="1349">
        <f t="shared" si="49"/>
        <v>0</v>
      </c>
      <c r="AH73" s="1350"/>
      <c r="AI73" s="1351"/>
      <c r="AJ73" s="1352" t="e">
        <f t="shared" si="48"/>
        <v>#N/A</v>
      </c>
      <c r="AK73" s="1352"/>
      <c r="AL73" s="1352"/>
      <c r="AM73" s="1352"/>
      <c r="AN73" s="793"/>
      <c r="AO73" s="845"/>
      <c r="AP73" s="265"/>
      <c r="AQ73" s="760"/>
      <c r="AR73" s="760"/>
      <c r="AS73" s="265"/>
      <c r="AT73" s="265"/>
      <c r="AU73" s="265"/>
      <c r="AV73" s="265"/>
      <c r="AW73" s="265"/>
      <c r="AX73" s="265"/>
      <c r="AY73" s="265"/>
      <c r="AZ73" s="265"/>
      <c r="BA73" s="265"/>
      <c r="BB73" s="265"/>
      <c r="BC73" s="265"/>
      <c r="BD73" s="265"/>
      <c r="BE73" s="265"/>
      <c r="BF73" s="265"/>
      <c r="BG73" s="265"/>
      <c r="BH73" s="265"/>
      <c r="BI73" s="265"/>
      <c r="BJ73" s="265"/>
      <c r="BK73" s="265"/>
      <c r="BL73" s="265"/>
      <c r="BM73" s="265"/>
      <c r="BN73" s="265"/>
      <c r="BO73" s="265"/>
      <c r="BP73" s="265"/>
      <c r="BQ73" s="265"/>
      <c r="BR73" s="265"/>
      <c r="BS73" s="341"/>
      <c r="BT73" s="341"/>
      <c r="BU73" s="341"/>
      <c r="BV73" s="341"/>
      <c r="BW73" s="341"/>
      <c r="BX73" s="341"/>
      <c r="BY73" s="341"/>
      <c r="BZ73" s="341"/>
      <c r="CA73" s="341"/>
      <c r="CB73" s="341"/>
      <c r="CC73" s="344"/>
      <c r="CD73" s="344"/>
      <c r="CE73" s="341"/>
      <c r="CF73" s="341"/>
      <c r="CG73" s="341"/>
      <c r="CH73" s="341"/>
      <c r="CI73" s="341"/>
      <c r="CJ73" s="341"/>
      <c r="CK73" s="341"/>
      <c r="CL73" s="266"/>
      <c r="CM73" s="266"/>
      <c r="CN73" s="266"/>
      <c r="CO73" s="266"/>
      <c r="CP73" s="266"/>
      <c r="CQ73" s="266"/>
      <c r="CR73" s="266"/>
      <c r="CS73" s="266"/>
      <c r="CT73" s="673"/>
      <c r="CU73" s="673"/>
      <c r="CV73" s="673"/>
      <c r="CW73" s="673"/>
      <c r="CX73" s="673"/>
      <c r="CY73" s="673"/>
      <c r="CZ73" s="673"/>
      <c r="DA73" s="673"/>
      <c r="DB73" s="673"/>
      <c r="DC73" s="673"/>
      <c r="DD73" s="673"/>
      <c r="DE73" s="673"/>
      <c r="DF73" s="673"/>
      <c r="DG73" s="673"/>
      <c r="DH73" s="673"/>
      <c r="DI73" s="673"/>
      <c r="DJ73" s="673"/>
      <c r="DK73" s="673"/>
      <c r="DL73" s="673"/>
      <c r="DM73" s="673"/>
      <c r="DN73" s="672"/>
      <c r="DO73" s="672"/>
      <c r="DP73" s="672"/>
      <c r="DQ73" s="672"/>
      <c r="DR73" s="672"/>
      <c r="DS73" s="672"/>
      <c r="DT73" s="672"/>
    </row>
    <row r="74" spans="1:124" ht="16.5" hidden="1" customHeight="1">
      <c r="A74" s="1353" t="str">
        <f t="shared" si="44"/>
        <v/>
      </c>
      <c r="B74" s="1353"/>
      <c r="C74" s="1353"/>
      <c r="D74" s="1353"/>
      <c r="E74" s="1342" t="str">
        <f t="shared" si="47"/>
        <v/>
      </c>
      <c r="F74" s="1343"/>
      <c r="G74" s="1343"/>
      <c r="H74" s="1344"/>
      <c r="I74" s="1345"/>
      <c r="J74" s="1345"/>
      <c r="K74" s="1345"/>
      <c r="L74" s="1345"/>
      <c r="M74" s="1345"/>
      <c r="N74" s="1345"/>
      <c r="O74" s="1345"/>
      <c r="P74" s="1345"/>
      <c r="Y74" s="1346" t="str">
        <f t="shared" si="42"/>
        <v/>
      </c>
      <c r="Z74" s="1347"/>
      <c r="AA74" s="1347"/>
      <c r="AB74" s="1348"/>
      <c r="AC74" s="1346" t="str">
        <f t="shared" si="45"/>
        <v/>
      </c>
      <c r="AD74" s="1347"/>
      <c r="AE74" s="1347"/>
      <c r="AF74" s="1348"/>
      <c r="AG74" s="1349">
        <f t="shared" si="49"/>
        <v>0</v>
      </c>
      <c r="AH74" s="1350"/>
      <c r="AI74" s="1351"/>
      <c r="AJ74" s="1352" t="e">
        <f t="shared" si="48"/>
        <v>#N/A</v>
      </c>
      <c r="AK74" s="1352"/>
      <c r="AL74" s="1352"/>
      <c r="AM74" s="1352"/>
      <c r="AN74" s="793"/>
      <c r="AO74" s="845"/>
      <c r="AP74" s="265"/>
      <c r="AQ74" s="760"/>
      <c r="AR74" s="760"/>
      <c r="AS74" s="265"/>
      <c r="AT74" s="265"/>
      <c r="AU74" s="265"/>
      <c r="AV74" s="265"/>
      <c r="AW74" s="265"/>
      <c r="AX74" s="265"/>
      <c r="AY74" s="265"/>
      <c r="AZ74" s="265"/>
      <c r="BA74" s="265"/>
      <c r="BB74" s="265"/>
      <c r="BC74" s="265"/>
      <c r="BD74" s="265"/>
      <c r="BE74" s="265"/>
      <c r="BF74" s="265"/>
      <c r="BG74" s="265"/>
      <c r="BH74" s="265"/>
      <c r="BI74" s="265"/>
      <c r="BJ74" s="265"/>
      <c r="BK74" s="265"/>
      <c r="BL74" s="265"/>
      <c r="BM74" s="265"/>
      <c r="BN74" s="265"/>
      <c r="BO74" s="265"/>
      <c r="BP74" s="265"/>
      <c r="BQ74" s="265"/>
      <c r="BR74" s="265"/>
      <c r="BS74" s="343"/>
      <c r="BT74" s="343"/>
      <c r="BU74" s="343"/>
      <c r="BV74" s="343"/>
      <c r="BW74" s="343"/>
      <c r="BX74" s="343"/>
      <c r="BY74" s="343"/>
      <c r="BZ74" s="343"/>
      <c r="CA74" s="343"/>
      <c r="CB74" s="342"/>
      <c r="CC74" s="344"/>
      <c r="CD74" s="344"/>
      <c r="CE74" s="343"/>
      <c r="CF74" s="343"/>
      <c r="CG74" s="343"/>
      <c r="CH74" s="343"/>
      <c r="CI74" s="343"/>
      <c r="CJ74" s="343"/>
      <c r="CK74" s="343"/>
      <c r="CL74" s="266"/>
      <c r="CM74" s="266"/>
      <c r="CN74" s="266"/>
      <c r="CO74" s="266"/>
      <c r="CP74" s="266"/>
      <c r="CQ74" s="266"/>
      <c r="CR74" s="266"/>
      <c r="CS74" s="266"/>
      <c r="CT74" s="797"/>
      <c r="CU74" s="797"/>
      <c r="CV74" s="797"/>
      <c r="CW74" s="797"/>
      <c r="CX74" s="797"/>
      <c r="CY74" s="797"/>
      <c r="CZ74" s="797"/>
      <c r="DA74" s="797"/>
      <c r="DB74" s="797"/>
      <c r="DC74" s="797"/>
      <c r="DD74" s="797"/>
      <c r="DE74" s="797"/>
      <c r="DF74" s="797"/>
      <c r="DG74" s="797"/>
      <c r="DH74" s="797"/>
      <c r="DI74" s="797"/>
      <c r="DJ74" s="797"/>
      <c r="DK74" s="797"/>
      <c r="DL74" s="797"/>
      <c r="DM74" s="797"/>
      <c r="DN74" s="672"/>
      <c r="DO74" s="672"/>
      <c r="DP74" s="672"/>
      <c r="DQ74" s="672"/>
      <c r="DR74" s="672"/>
      <c r="DS74" s="672"/>
      <c r="DT74" s="672"/>
    </row>
    <row r="75" spans="1:124" ht="16.5" hidden="1" customHeight="1">
      <c r="A75" s="1353" t="str">
        <f t="shared" si="44"/>
        <v/>
      </c>
      <c r="B75" s="1353"/>
      <c r="C75" s="1353"/>
      <c r="D75" s="1353"/>
      <c r="E75" s="1342" t="str">
        <f t="shared" si="47"/>
        <v/>
      </c>
      <c r="F75" s="1343"/>
      <c r="G75" s="1343"/>
      <c r="H75" s="1344"/>
      <c r="I75" s="1345"/>
      <c r="J75" s="1345"/>
      <c r="K75" s="1345"/>
      <c r="L75" s="1345"/>
      <c r="M75" s="1345"/>
      <c r="N75" s="1345"/>
      <c r="O75" s="1345"/>
      <c r="P75" s="1345"/>
      <c r="Y75" s="1346" t="str">
        <f t="shared" si="42"/>
        <v/>
      </c>
      <c r="Z75" s="1347"/>
      <c r="AA75" s="1347"/>
      <c r="AB75" s="1348"/>
      <c r="AC75" s="1346" t="str">
        <f t="shared" si="45"/>
        <v/>
      </c>
      <c r="AD75" s="1347"/>
      <c r="AE75" s="1347"/>
      <c r="AF75" s="1348"/>
      <c r="AG75" s="1349">
        <f t="shared" si="49"/>
        <v>0</v>
      </c>
      <c r="AH75" s="1350"/>
      <c r="AI75" s="1351"/>
      <c r="AJ75" s="1352" t="e">
        <f t="shared" si="48"/>
        <v>#N/A</v>
      </c>
      <c r="AK75" s="1352"/>
      <c r="AL75" s="1352"/>
      <c r="AM75" s="1352"/>
      <c r="AN75" s="793"/>
      <c r="AO75" s="845"/>
      <c r="AP75" s="265"/>
      <c r="AQ75" s="760"/>
      <c r="AR75" s="760"/>
      <c r="AS75" s="265"/>
      <c r="AT75" s="265"/>
      <c r="AU75" s="265"/>
      <c r="AV75" s="265"/>
      <c r="AW75" s="265"/>
      <c r="AX75" s="265"/>
      <c r="AY75" s="265"/>
      <c r="AZ75" s="265"/>
      <c r="BA75" s="265"/>
      <c r="BB75" s="265"/>
      <c r="BC75" s="265"/>
      <c r="BD75" s="265"/>
      <c r="BE75" s="265"/>
      <c r="BF75" s="265"/>
      <c r="BG75" s="265"/>
      <c r="BH75" s="265"/>
      <c r="BI75" s="265"/>
      <c r="BJ75" s="265"/>
      <c r="BK75" s="265"/>
      <c r="BL75" s="265"/>
      <c r="BM75" s="265"/>
      <c r="BN75" s="265"/>
      <c r="BO75" s="265"/>
      <c r="BP75" s="265"/>
      <c r="BQ75" s="265"/>
      <c r="BR75" s="265"/>
      <c r="BS75" s="342"/>
      <c r="BT75" s="343"/>
      <c r="BU75" s="343"/>
      <c r="BV75" s="343"/>
      <c r="BW75" s="343"/>
      <c r="BX75" s="343"/>
      <c r="BY75" s="343"/>
      <c r="BZ75" s="343"/>
      <c r="CA75" s="343"/>
      <c r="CB75" s="343"/>
      <c r="CC75" s="344"/>
      <c r="CD75" s="344"/>
      <c r="CE75" s="343"/>
      <c r="CF75" s="343"/>
      <c r="CG75" s="343"/>
      <c r="CH75" s="343"/>
      <c r="CI75" s="343"/>
      <c r="CJ75" s="343"/>
      <c r="CK75" s="343"/>
      <c r="CL75" s="266"/>
      <c r="CM75" s="266"/>
      <c r="CN75" s="266"/>
      <c r="CO75" s="266"/>
      <c r="CP75" s="266"/>
      <c r="CQ75" s="266"/>
      <c r="CR75" s="266"/>
      <c r="CS75" s="266"/>
      <c r="CT75" s="797"/>
      <c r="CU75" s="797"/>
      <c r="CV75" s="797"/>
      <c r="CW75" s="797"/>
      <c r="CX75" s="797"/>
      <c r="CY75" s="797"/>
      <c r="CZ75" s="797"/>
      <c r="DA75" s="797"/>
      <c r="DB75" s="797"/>
      <c r="DC75" s="797"/>
      <c r="DD75" s="797"/>
      <c r="DE75" s="797"/>
      <c r="DF75" s="797"/>
      <c r="DG75" s="797"/>
      <c r="DH75" s="797"/>
      <c r="DI75" s="797"/>
      <c r="DJ75" s="797"/>
      <c r="DK75" s="797"/>
      <c r="DL75" s="797"/>
      <c r="DM75" s="797"/>
      <c r="DN75" s="672"/>
      <c r="DO75" s="672"/>
      <c r="DP75" s="672"/>
      <c r="DQ75" s="672"/>
      <c r="DR75" s="672"/>
      <c r="DS75" s="672"/>
      <c r="DT75" s="672"/>
    </row>
    <row r="76" spans="1:124" ht="16.5" hidden="1" customHeight="1">
      <c r="A76" s="1340" t="str">
        <f t="shared" si="44"/>
        <v>Pasa</v>
      </c>
      <c r="B76" s="1340"/>
      <c r="C76" s="1340"/>
      <c r="D76" s="1341"/>
      <c r="E76" s="1342" t="s">
        <v>458</v>
      </c>
      <c r="F76" s="1343"/>
      <c r="G76" s="1343"/>
      <c r="H76" s="1344"/>
      <c r="I76" s="1345"/>
      <c r="J76" s="1345"/>
      <c r="K76" s="1345"/>
      <c r="L76" s="1345"/>
      <c r="M76" s="1345"/>
      <c r="N76" s="1345"/>
      <c r="O76" s="1345"/>
      <c r="P76" s="1345"/>
      <c r="Y76" s="1346" t="str">
        <f t="shared" si="42"/>
        <v/>
      </c>
      <c r="Z76" s="1347"/>
      <c r="AA76" s="1347"/>
      <c r="AB76" s="1348"/>
      <c r="AC76" s="1346" t="str">
        <f t="shared" si="45"/>
        <v/>
      </c>
      <c r="AD76" s="1347"/>
      <c r="AE76" s="1347"/>
      <c r="AF76" s="1348"/>
      <c r="AG76" s="1349">
        <f t="shared" si="49"/>
        <v>0</v>
      </c>
      <c r="AH76" s="1350"/>
      <c r="AI76" s="1351"/>
      <c r="AJ76" s="1339" t="s">
        <v>42</v>
      </c>
      <c r="AK76" s="1339"/>
      <c r="AL76" s="1339"/>
      <c r="AM76" s="1339"/>
      <c r="AN76" s="793"/>
      <c r="AO76" s="845"/>
      <c r="AP76" s="265"/>
      <c r="AQ76" s="760"/>
      <c r="AR76" s="760"/>
      <c r="AS76" s="265"/>
      <c r="AT76" s="265"/>
      <c r="AU76" s="265"/>
      <c r="AV76" s="265"/>
      <c r="AW76" s="265"/>
      <c r="AX76" s="265"/>
      <c r="AY76" s="265"/>
      <c r="AZ76" s="265"/>
      <c r="BA76" s="265"/>
      <c r="BB76" s="265"/>
      <c r="BC76" s="265"/>
      <c r="BD76" s="265"/>
      <c r="BE76" s="265"/>
      <c r="BF76" s="265"/>
      <c r="BG76" s="265"/>
      <c r="BH76" s="265"/>
      <c r="BI76" s="265"/>
      <c r="BJ76" s="265"/>
      <c r="BK76" s="265"/>
      <c r="BL76" s="265"/>
      <c r="BM76" s="265"/>
      <c r="BN76" s="265"/>
      <c r="BO76" s="265"/>
      <c r="BP76" s="265"/>
      <c r="BQ76" s="265"/>
      <c r="BR76" s="265"/>
      <c r="BS76" s="702"/>
      <c r="BT76" s="341"/>
      <c r="BU76" s="341"/>
      <c r="BV76" s="341"/>
      <c r="BW76" s="341"/>
      <c r="BX76" s="341"/>
      <c r="BY76" s="341"/>
      <c r="BZ76" s="341"/>
      <c r="CA76" s="341"/>
      <c r="CB76" s="343"/>
      <c r="CC76" s="344"/>
      <c r="CD76" s="344"/>
      <c r="CE76" s="341"/>
      <c r="CF76" s="341"/>
      <c r="CG76" s="341"/>
      <c r="CH76" s="341"/>
      <c r="CI76" s="341"/>
      <c r="CJ76" s="341"/>
      <c r="CK76" s="341"/>
      <c r="CL76" s="266"/>
      <c r="CM76" s="266"/>
      <c r="CN76" s="266"/>
      <c r="CO76" s="266"/>
      <c r="CP76" s="266"/>
      <c r="CQ76" s="266"/>
      <c r="CR76" s="266"/>
      <c r="CS76" s="266"/>
      <c r="CT76" s="673"/>
      <c r="CU76" s="673"/>
      <c r="CV76" s="673"/>
      <c r="CW76" s="673"/>
      <c r="CX76" s="673"/>
      <c r="CY76" s="673"/>
      <c r="CZ76" s="673"/>
      <c r="DA76" s="673"/>
      <c r="DB76" s="673"/>
      <c r="DC76" s="673"/>
      <c r="DD76" s="673"/>
      <c r="DE76" s="673"/>
      <c r="DF76" s="673"/>
      <c r="DG76" s="673"/>
      <c r="DH76" s="673"/>
      <c r="DI76" s="673"/>
      <c r="DJ76" s="673"/>
      <c r="DK76" s="673"/>
      <c r="DL76" s="673"/>
      <c r="DM76" s="673"/>
      <c r="DN76" s="672"/>
      <c r="DO76" s="672"/>
      <c r="DP76" s="672"/>
      <c r="DQ76" s="672"/>
      <c r="DR76" s="672"/>
      <c r="DS76" s="672"/>
      <c r="DT76" s="672"/>
    </row>
    <row r="77" spans="1:124" ht="16.5" customHeight="1">
      <c r="AP77" s="265"/>
      <c r="AQ77" s="760"/>
      <c r="AR77" s="760"/>
      <c r="AS77" s="265"/>
      <c r="AT77" s="265"/>
      <c r="AU77" s="265"/>
      <c r="AV77" s="265"/>
      <c r="AW77" s="265"/>
      <c r="AX77" s="265"/>
      <c r="AY77" s="265"/>
      <c r="AZ77" s="265"/>
      <c r="BA77" s="265"/>
      <c r="BB77" s="265"/>
      <c r="BC77" s="265"/>
      <c r="BD77" s="265"/>
      <c r="BE77" s="265"/>
      <c r="BF77" s="265"/>
      <c r="BG77" s="265"/>
      <c r="BH77" s="265"/>
      <c r="BI77" s="265"/>
      <c r="BJ77" s="265"/>
      <c r="BK77" s="265"/>
      <c r="BL77" s="265"/>
      <c r="BM77" s="265"/>
      <c r="BN77" s="265"/>
      <c r="BO77" s="265"/>
      <c r="BP77" s="265"/>
      <c r="BQ77" s="265"/>
      <c r="BR77" s="265"/>
      <c r="BS77" s="342"/>
      <c r="BT77" s="342"/>
      <c r="BU77" s="342"/>
      <c r="BV77" s="342"/>
      <c r="BW77" s="342"/>
      <c r="BX77" s="342"/>
      <c r="BY77" s="342"/>
      <c r="BZ77" s="342"/>
      <c r="CA77" s="342"/>
      <c r="CB77" s="266"/>
      <c r="CC77" s="344"/>
      <c r="CD77" s="344"/>
      <c r="CE77" s="343"/>
      <c r="CF77" s="343"/>
      <c r="CG77" s="343"/>
      <c r="CH77" s="343"/>
      <c r="CI77" s="343"/>
      <c r="CJ77" s="343"/>
      <c r="CK77" s="343"/>
      <c r="CL77" s="266"/>
      <c r="CM77" s="266"/>
      <c r="CN77" s="266"/>
      <c r="CO77" s="266"/>
      <c r="CP77" s="266"/>
      <c r="CQ77" s="266"/>
      <c r="CR77" s="266"/>
      <c r="CS77" s="266"/>
      <c r="CT77" s="797"/>
      <c r="CU77" s="797"/>
      <c r="CV77" s="797"/>
      <c r="CW77" s="797"/>
      <c r="CX77" s="797"/>
      <c r="CY77" s="797"/>
      <c r="CZ77" s="797"/>
      <c r="DA77" s="797"/>
      <c r="DB77" s="797"/>
      <c r="DC77" s="759"/>
      <c r="DD77" s="759"/>
      <c r="DE77" s="759"/>
      <c r="DF77" s="759"/>
      <c r="DG77" s="759"/>
      <c r="DH77" s="759"/>
      <c r="DI77" s="759"/>
      <c r="DJ77" s="759"/>
      <c r="DK77" s="759"/>
      <c r="DL77" s="759"/>
      <c r="DM77" s="759"/>
      <c r="DN77" s="672"/>
      <c r="DO77" s="672"/>
      <c r="DP77" s="672"/>
      <c r="DQ77" s="672"/>
      <c r="DR77" s="672"/>
      <c r="DS77" s="672"/>
      <c r="DT77" s="672"/>
    </row>
    <row r="78" spans="1:124" ht="16.5" customHeight="1">
      <c r="AP78" s="265"/>
      <c r="AQ78" s="265"/>
      <c r="AR78" s="265"/>
      <c r="AS78" s="265"/>
      <c r="AT78" s="265"/>
      <c r="AU78" s="265"/>
      <c r="AV78" s="265"/>
      <c r="AW78" s="265"/>
      <c r="AX78" s="265"/>
      <c r="AY78" s="265"/>
      <c r="AZ78" s="265"/>
      <c r="BA78" s="265"/>
      <c r="BB78" s="265"/>
      <c r="BC78" s="265"/>
      <c r="BD78" s="265"/>
      <c r="BE78" s="265"/>
      <c r="BF78" s="265"/>
      <c r="BG78" s="265"/>
      <c r="BH78" s="265"/>
      <c r="BI78" s="265"/>
      <c r="BJ78" s="265"/>
      <c r="BK78" s="265"/>
      <c r="BL78" s="265"/>
      <c r="BM78" s="265"/>
      <c r="BN78" s="265"/>
      <c r="BO78" s="265"/>
      <c r="BP78" s="265"/>
      <c r="BQ78" s="265"/>
      <c r="BR78" s="265"/>
      <c r="BS78" s="342"/>
      <c r="BT78" s="342"/>
      <c r="BU78" s="342"/>
      <c r="BV78" s="342"/>
      <c r="BW78" s="342"/>
      <c r="BX78" s="342"/>
      <c r="BY78" s="342"/>
      <c r="BZ78" s="342"/>
      <c r="CA78" s="342"/>
      <c r="CB78" s="266"/>
      <c r="CC78" s="344"/>
      <c r="CD78" s="344"/>
      <c r="CE78" s="341"/>
      <c r="CF78" s="341"/>
      <c r="CG78" s="341"/>
      <c r="CH78" s="341"/>
      <c r="CI78" s="341"/>
      <c r="CJ78" s="341"/>
      <c r="CK78" s="341"/>
      <c r="CL78" s="266"/>
      <c r="CM78" s="266"/>
      <c r="CN78" s="266"/>
      <c r="CO78" s="266"/>
      <c r="CP78" s="266"/>
      <c r="CQ78" s="266"/>
      <c r="CR78" s="266"/>
      <c r="CS78" s="266"/>
      <c r="CT78" s="797"/>
      <c r="CU78" s="797"/>
      <c r="CV78" s="797"/>
      <c r="CW78" s="797"/>
      <c r="CX78" s="797"/>
      <c r="CY78" s="797"/>
      <c r="CZ78" s="797"/>
      <c r="DA78" s="797"/>
      <c r="DB78" s="797"/>
      <c r="DC78" s="673"/>
      <c r="DD78" s="673"/>
      <c r="DE78" s="673"/>
      <c r="DF78" s="673"/>
      <c r="DG78" s="673"/>
      <c r="DH78" s="673"/>
      <c r="DI78" s="673"/>
      <c r="DJ78" s="673"/>
      <c r="DK78" s="673"/>
      <c r="DL78" s="673"/>
      <c r="DM78" s="673"/>
      <c r="DN78" s="672"/>
      <c r="DO78" s="672"/>
      <c r="DP78" s="672"/>
      <c r="DQ78" s="672"/>
      <c r="DR78" s="672"/>
      <c r="DS78" s="672"/>
      <c r="DT78" s="672"/>
    </row>
    <row r="79" spans="1:124" ht="19.5" customHeight="1">
      <c r="I79" s="760">
        <v>0</v>
      </c>
      <c r="AP79" s="265"/>
      <c r="AQ79" s="265"/>
      <c r="AR79" s="265"/>
      <c r="AS79" s="265"/>
      <c r="AT79" s="265"/>
      <c r="AU79" s="265"/>
      <c r="AV79" s="265"/>
      <c r="AW79" s="265"/>
      <c r="AX79" s="265"/>
      <c r="AY79" s="265"/>
      <c r="AZ79" s="265"/>
      <c r="BA79" s="265"/>
      <c r="BB79" s="265"/>
      <c r="BC79" s="265"/>
      <c r="BD79" s="265"/>
      <c r="BE79" s="265"/>
      <c r="BF79" s="265"/>
      <c r="BG79" s="265"/>
      <c r="BH79" s="265"/>
      <c r="BI79" s="265"/>
      <c r="BJ79" s="265"/>
      <c r="BK79" s="265"/>
      <c r="BL79" s="265"/>
      <c r="BM79" s="265"/>
      <c r="BN79" s="265"/>
      <c r="BO79" s="265"/>
      <c r="BP79" s="265"/>
      <c r="BQ79" s="265"/>
      <c r="BR79" s="265"/>
      <c r="BS79" s="342"/>
      <c r="BT79" s="342"/>
      <c r="BU79" s="342"/>
      <c r="BV79" s="342"/>
      <c r="BW79" s="342"/>
      <c r="BX79" s="342"/>
      <c r="BY79" s="342"/>
      <c r="BZ79" s="342"/>
      <c r="CA79" s="342"/>
      <c r="CB79" s="266"/>
      <c r="CC79" s="344"/>
      <c r="CD79" s="344"/>
      <c r="CE79" s="343"/>
      <c r="CF79" s="343"/>
      <c r="CG79" s="343"/>
      <c r="CH79" s="343"/>
      <c r="CI79" s="343"/>
      <c r="CJ79" s="343"/>
      <c r="CK79" s="343"/>
      <c r="CL79" s="266"/>
      <c r="CM79" s="266"/>
      <c r="CN79" s="266"/>
      <c r="CO79" s="266"/>
      <c r="CP79" s="266"/>
      <c r="CQ79" s="266"/>
      <c r="CR79" s="266"/>
      <c r="CS79" s="266"/>
      <c r="CT79" s="797"/>
      <c r="CU79" s="797"/>
      <c r="CV79" s="797"/>
      <c r="CW79" s="797"/>
      <c r="CX79" s="797"/>
      <c r="CY79" s="797"/>
      <c r="CZ79" s="797"/>
      <c r="DA79" s="797"/>
      <c r="DB79" s="797"/>
      <c r="DC79" s="759"/>
      <c r="DD79" s="759"/>
      <c r="DE79" s="759"/>
      <c r="DF79" s="759"/>
      <c r="DG79" s="759"/>
      <c r="DH79" s="759"/>
      <c r="DI79" s="759"/>
      <c r="DJ79" s="759"/>
      <c r="DK79" s="759"/>
      <c r="DL79" s="759"/>
      <c r="DM79" s="759"/>
      <c r="DN79" s="672"/>
      <c r="DO79" s="672"/>
      <c r="DP79" s="672"/>
      <c r="DQ79" s="672"/>
      <c r="DR79" s="672"/>
      <c r="DS79" s="672"/>
      <c r="DT79" s="672"/>
    </row>
    <row r="80" spans="1:124" ht="19.5" customHeight="1">
      <c r="I80" s="760">
        <v>0</v>
      </c>
      <c r="AP80" s="265"/>
      <c r="AQ80" s="265"/>
      <c r="AR80" s="265"/>
      <c r="AS80" s="265"/>
      <c r="AT80" s="265"/>
      <c r="AU80" s="265"/>
      <c r="AV80" s="265"/>
      <c r="AW80" s="265"/>
      <c r="AX80" s="265"/>
      <c r="AY80" s="265"/>
      <c r="AZ80" s="265"/>
      <c r="BA80" s="265"/>
      <c r="BB80" s="265"/>
      <c r="BC80" s="265"/>
      <c r="BD80" s="265"/>
      <c r="BE80" s="265"/>
      <c r="BF80" s="265"/>
      <c r="BG80" s="265"/>
      <c r="BH80" s="265"/>
      <c r="BI80" s="265"/>
      <c r="BJ80" s="265"/>
      <c r="BK80" s="265"/>
      <c r="BL80" s="265"/>
      <c r="BM80" s="265"/>
      <c r="BN80" s="265"/>
      <c r="BO80" s="265"/>
      <c r="BP80" s="265"/>
      <c r="BQ80" s="265"/>
      <c r="BR80" s="265"/>
      <c r="BS80" s="702"/>
      <c r="BT80" s="341"/>
      <c r="BU80" s="703"/>
      <c r="BV80" s="266"/>
      <c r="BW80" s="266"/>
      <c r="BX80" s="266"/>
      <c r="BY80" s="266"/>
      <c r="BZ80" s="266"/>
      <c r="CA80" s="266"/>
      <c r="CB80" s="266"/>
      <c r="CC80" s="704"/>
      <c r="CD80" s="703"/>
      <c r="CE80" s="341"/>
      <c r="CF80" s="341"/>
      <c r="CG80" s="341"/>
      <c r="CH80" s="341"/>
      <c r="CI80" s="341"/>
      <c r="CJ80" s="341"/>
      <c r="CK80" s="341"/>
      <c r="CL80" s="266"/>
      <c r="CM80" s="266"/>
      <c r="CN80" s="266"/>
      <c r="CO80" s="266"/>
      <c r="CP80" s="266"/>
      <c r="CQ80" s="266"/>
      <c r="CR80" s="266"/>
      <c r="CS80" s="266"/>
      <c r="CT80" s="705"/>
      <c r="CU80" s="705"/>
      <c r="CV80" s="705"/>
      <c r="CW80" s="705"/>
      <c r="CX80" s="705"/>
      <c r="CY80" s="705"/>
      <c r="CZ80" s="705"/>
      <c r="DA80" s="705"/>
      <c r="DB80" s="705"/>
      <c r="DC80" s="705"/>
      <c r="DD80" s="705"/>
      <c r="DE80" s="705"/>
      <c r="DF80" s="705"/>
      <c r="DG80" s="705"/>
      <c r="DH80" s="705"/>
      <c r="DI80" s="705"/>
      <c r="DJ80" s="705"/>
      <c r="DK80" s="705"/>
      <c r="DL80" s="705"/>
      <c r="DM80" s="705"/>
      <c r="DN80" s="672"/>
      <c r="DO80" s="672"/>
      <c r="DP80" s="672"/>
      <c r="DQ80" s="672"/>
      <c r="DR80" s="672"/>
      <c r="DS80" s="672"/>
      <c r="DT80" s="672"/>
    </row>
    <row r="81" spans="9:124">
      <c r="I81" s="760">
        <v>0</v>
      </c>
      <c r="AP81" s="265"/>
      <c r="AZ81" s="265"/>
      <c r="BA81" s="265"/>
      <c r="BB81" s="265"/>
      <c r="BC81" s="265"/>
      <c r="BD81" s="265"/>
      <c r="BS81" s="243"/>
      <c r="BT81" s="706"/>
      <c r="BU81" s="231"/>
      <c r="BV81" s="231"/>
      <c r="BW81" s="231"/>
      <c r="BX81" s="231"/>
      <c r="BY81" s="231"/>
      <c r="BZ81" s="231"/>
      <c r="CA81" s="231"/>
      <c r="CB81" s="231"/>
      <c r="CC81" s="231"/>
      <c r="CD81" s="231"/>
      <c r="CE81" s="231"/>
      <c r="CF81" s="231"/>
      <c r="CG81" s="231"/>
      <c r="CH81" s="231"/>
      <c r="CI81" s="231"/>
      <c r="CJ81" s="231"/>
      <c r="CK81" s="231"/>
      <c r="CL81" s="231"/>
      <c r="CM81" s="231"/>
      <c r="CN81" s="231"/>
      <c r="CO81" s="231"/>
      <c r="CP81" s="231"/>
      <c r="CQ81" s="231"/>
      <c r="CR81" s="231"/>
      <c r="CS81" s="231"/>
      <c r="CT81" s="670"/>
      <c r="CU81" s="670"/>
      <c r="CV81" s="670"/>
      <c r="CW81" s="670"/>
      <c r="CX81" s="670"/>
      <c r="CY81" s="670"/>
      <c r="CZ81" s="670"/>
      <c r="DA81" s="670"/>
      <c r="DB81" s="670"/>
      <c r="DC81" s="670"/>
      <c r="DD81" s="670"/>
      <c r="DE81" s="670"/>
      <c r="DF81" s="670"/>
      <c r="DG81" s="670"/>
      <c r="DH81" s="670"/>
      <c r="DI81" s="670"/>
      <c r="DJ81" s="670"/>
      <c r="DK81" s="670"/>
      <c r="DL81" s="670"/>
      <c r="DM81" s="670"/>
      <c r="DN81" s="670"/>
      <c r="DO81" s="670"/>
      <c r="DP81" s="670"/>
      <c r="DQ81" s="670"/>
      <c r="DR81" s="670"/>
      <c r="DS81" s="670"/>
      <c r="DT81" s="670"/>
    </row>
    <row r="82" spans="9:124">
      <c r="AZ82" s="265"/>
      <c r="BA82" s="265"/>
      <c r="BB82" s="265"/>
      <c r="BC82" s="265"/>
      <c r="BD82" s="265"/>
    </row>
  </sheetData>
  <sheetProtection algorithmName="SHA-512" hashValue="nyhru9U51EFQYMpq9HZSlvsmQjpBSWAGa31AUnJcxXqinK1QD97ynshA6Jht0tM29JwrgJR/3F+Yr4MO4s0mOA==" saltValue="sDXu0Q7mPsvU4OZW0uvLzw==" spinCount="100000" sheet="1" formatCells="0" formatColumns="0" formatRows="0"/>
  <mergeCells count="322">
    <mergeCell ref="AP8:AR8"/>
    <mergeCell ref="A1:I5"/>
    <mergeCell ref="J4:AC4"/>
    <mergeCell ref="AD4:AN4"/>
    <mergeCell ref="J5:AN5"/>
    <mergeCell ref="A11:F11"/>
    <mergeCell ref="G11:AD11"/>
    <mergeCell ref="AE11:AN11"/>
    <mergeCell ref="AC7:AE7"/>
    <mergeCell ref="AF7:AL7"/>
    <mergeCell ref="AF8:AL8"/>
    <mergeCell ref="J1:AN3"/>
    <mergeCell ref="A12:H12"/>
    <mergeCell ref="I12:M12"/>
    <mergeCell ref="AG12:AN12"/>
    <mergeCell ref="BS12:CS12"/>
    <mergeCell ref="CT12:DT12"/>
    <mergeCell ref="A14:D14"/>
    <mergeCell ref="E14:H14"/>
    <mergeCell ref="Q14:T14"/>
    <mergeCell ref="U14:X14"/>
    <mergeCell ref="Y14:AB14"/>
    <mergeCell ref="AC14:AF14"/>
    <mergeCell ref="AG14:AJ14"/>
    <mergeCell ref="AK14:AN14"/>
    <mergeCell ref="A13:H13"/>
    <mergeCell ref="I13:P14"/>
    <mergeCell ref="Q13:X13"/>
    <mergeCell ref="Y13:AF13"/>
    <mergeCell ref="AG13:AN13"/>
    <mergeCell ref="AQ12:BQ12"/>
    <mergeCell ref="N12:AF12"/>
    <mergeCell ref="AC15:AF15"/>
    <mergeCell ref="AG15:AJ15"/>
    <mergeCell ref="AK15:AN15"/>
    <mergeCell ref="A16:D16"/>
    <mergeCell ref="E16:H16"/>
    <mergeCell ref="I16:P16"/>
    <mergeCell ref="Q16:T16"/>
    <mergeCell ref="U16:X16"/>
    <mergeCell ref="Y16:AB16"/>
    <mergeCell ref="AC16:AF16"/>
    <mergeCell ref="A15:D15"/>
    <mergeCell ref="E15:H15"/>
    <mergeCell ref="I15:P15"/>
    <mergeCell ref="Q15:T15"/>
    <mergeCell ref="U15:X15"/>
    <mergeCell ref="Y15:AB15"/>
    <mergeCell ref="AG16:AJ16"/>
    <mergeCell ref="AK16:AN16"/>
    <mergeCell ref="A17:D17"/>
    <mergeCell ref="E17:H17"/>
    <mergeCell ref="I17:P17"/>
    <mergeCell ref="Q17:T17"/>
    <mergeCell ref="U17:X17"/>
    <mergeCell ref="Y17:AB17"/>
    <mergeCell ref="AC17:AF17"/>
    <mergeCell ref="AG17:AJ17"/>
    <mergeCell ref="AK17:AN17"/>
    <mergeCell ref="A18:D18"/>
    <mergeCell ref="E18:H18"/>
    <mergeCell ref="I18:P18"/>
    <mergeCell ref="Q18:T18"/>
    <mergeCell ref="U18:X18"/>
    <mergeCell ref="Y18:AB18"/>
    <mergeCell ref="AC18:AF18"/>
    <mergeCell ref="AG18:AJ18"/>
    <mergeCell ref="AK18:AN18"/>
    <mergeCell ref="AC19:AF19"/>
    <mergeCell ref="AG19:AJ19"/>
    <mergeCell ref="AK19:AN19"/>
    <mergeCell ref="A20:D20"/>
    <mergeCell ref="E20:H20"/>
    <mergeCell ref="I20:P20"/>
    <mergeCell ref="Q20:T20"/>
    <mergeCell ref="U20:X20"/>
    <mergeCell ref="Y20:AB20"/>
    <mergeCell ref="AC20:AF20"/>
    <mergeCell ref="A19:D19"/>
    <mergeCell ref="E19:H19"/>
    <mergeCell ref="I19:P19"/>
    <mergeCell ref="Q19:T19"/>
    <mergeCell ref="U19:X19"/>
    <mergeCell ref="Y19:AB19"/>
    <mergeCell ref="AG20:AJ20"/>
    <mergeCell ref="AK20:AN20"/>
    <mergeCell ref="A21:D21"/>
    <mergeCell ref="E21:H21"/>
    <mergeCell ref="I21:P21"/>
    <mergeCell ref="Q21:T21"/>
    <mergeCell ref="U21:X21"/>
    <mergeCell ref="Y21:AB21"/>
    <mergeCell ref="AC21:AF21"/>
    <mergeCell ref="AG21:AJ21"/>
    <mergeCell ref="AK21:AN21"/>
    <mergeCell ref="A22:D22"/>
    <mergeCell ref="E22:H22"/>
    <mergeCell ref="I22:P22"/>
    <mergeCell ref="Q22:T22"/>
    <mergeCell ref="U22:X22"/>
    <mergeCell ref="Y22:AB22"/>
    <mergeCell ref="AC22:AF22"/>
    <mergeCell ref="AG22:AJ22"/>
    <mergeCell ref="AK22:AN22"/>
    <mergeCell ref="AC23:AF23"/>
    <mergeCell ref="AG23:AJ23"/>
    <mergeCell ref="AK23:AN23"/>
    <mergeCell ref="A24:D24"/>
    <mergeCell ref="E24:H24"/>
    <mergeCell ref="I24:P24"/>
    <mergeCell ref="Q24:T24"/>
    <mergeCell ref="U24:X24"/>
    <mergeCell ref="Y24:AB24"/>
    <mergeCell ref="AC24:AF24"/>
    <mergeCell ref="A23:D23"/>
    <mergeCell ref="E23:H23"/>
    <mergeCell ref="I23:P23"/>
    <mergeCell ref="Q23:T23"/>
    <mergeCell ref="U23:X23"/>
    <mergeCell ref="Y23:AB23"/>
    <mergeCell ref="AK25:AN25"/>
    <mergeCell ref="A26:D26"/>
    <mergeCell ref="G26:H26"/>
    <mergeCell ref="K26:L26"/>
    <mergeCell ref="U26:W26"/>
    <mergeCell ref="AG26:AK26"/>
    <mergeCell ref="AG24:AJ24"/>
    <mergeCell ref="AK24:AN24"/>
    <mergeCell ref="A25:D25"/>
    <mergeCell ref="E25:H25"/>
    <mergeCell ref="I25:P25"/>
    <mergeCell ref="Q25:T25"/>
    <mergeCell ref="U25:X25"/>
    <mergeCell ref="Y25:AB25"/>
    <mergeCell ref="AC25:AF25"/>
    <mergeCell ref="AG25:AJ25"/>
    <mergeCell ref="A47:AN47"/>
    <mergeCell ref="BE50:BF50"/>
    <mergeCell ref="BE47:BF47"/>
    <mergeCell ref="BE48:BF48"/>
    <mergeCell ref="BE45:BF45"/>
    <mergeCell ref="BE46:BF46"/>
    <mergeCell ref="Q27:T27"/>
    <mergeCell ref="BA34:BB34"/>
    <mergeCell ref="A46:E46"/>
    <mergeCell ref="F46:G46"/>
    <mergeCell ref="H46:AN46"/>
    <mergeCell ref="B45:G45"/>
    <mergeCell ref="A53:D54"/>
    <mergeCell ref="E53:H54"/>
    <mergeCell ref="I53:P54"/>
    <mergeCell ref="Y53:AF53"/>
    <mergeCell ref="Y54:AB54"/>
    <mergeCell ref="AC54:AF54"/>
    <mergeCell ref="A48:AN48"/>
    <mergeCell ref="BE51:BF51"/>
    <mergeCell ref="A52:H52"/>
    <mergeCell ref="I52:M52"/>
    <mergeCell ref="AG52:AN52"/>
    <mergeCell ref="A51:D51"/>
    <mergeCell ref="M51:AA51"/>
    <mergeCell ref="E51:L51"/>
    <mergeCell ref="AB51:AF51"/>
    <mergeCell ref="AG51:AJ51"/>
    <mergeCell ref="AK51:AN51"/>
    <mergeCell ref="A49:AN50"/>
    <mergeCell ref="BE49:BF49"/>
    <mergeCell ref="AJ55:AM55"/>
    <mergeCell ref="A56:D56"/>
    <mergeCell ref="E56:H56"/>
    <mergeCell ref="I56:P56"/>
    <mergeCell ref="Y56:AB56"/>
    <mergeCell ref="AC56:AF56"/>
    <mergeCell ref="AG56:AI56"/>
    <mergeCell ref="AJ56:AM56"/>
    <mergeCell ref="A55:D55"/>
    <mergeCell ref="E55:H55"/>
    <mergeCell ref="I55:P55"/>
    <mergeCell ref="Y55:AB55"/>
    <mergeCell ref="AC55:AF55"/>
    <mergeCell ref="AG55:AI55"/>
    <mergeCell ref="CT60:DT60"/>
    <mergeCell ref="A59:D59"/>
    <mergeCell ref="E59:H59"/>
    <mergeCell ref="I59:P59"/>
    <mergeCell ref="Y59:AB59"/>
    <mergeCell ref="AC59:AF59"/>
    <mergeCell ref="AG59:AI59"/>
    <mergeCell ref="AJ59:AM59"/>
    <mergeCell ref="AJ57:AM57"/>
    <mergeCell ref="A58:D58"/>
    <mergeCell ref="E58:H58"/>
    <mergeCell ref="I58:P58"/>
    <mergeCell ref="Y58:AB58"/>
    <mergeCell ref="AC58:AF58"/>
    <mergeCell ref="AG58:AI58"/>
    <mergeCell ref="AJ58:AM58"/>
    <mergeCell ref="A57:D57"/>
    <mergeCell ref="E57:H57"/>
    <mergeCell ref="I57:P57"/>
    <mergeCell ref="Y57:AB57"/>
    <mergeCell ref="AC57:AF57"/>
    <mergeCell ref="AG57:AI57"/>
    <mergeCell ref="AJ60:AM60"/>
    <mergeCell ref="A61:D61"/>
    <mergeCell ref="E61:H61"/>
    <mergeCell ref="I61:P61"/>
    <mergeCell ref="Y61:AB61"/>
    <mergeCell ref="AC61:AF61"/>
    <mergeCell ref="AG61:AI61"/>
    <mergeCell ref="AJ61:AM61"/>
    <mergeCell ref="A60:D60"/>
    <mergeCell ref="E60:H60"/>
    <mergeCell ref="I60:P60"/>
    <mergeCell ref="Y60:AB60"/>
    <mergeCell ref="AC60:AF60"/>
    <mergeCell ref="AG60:AI60"/>
    <mergeCell ref="AJ62:AM62"/>
    <mergeCell ref="A63:D63"/>
    <mergeCell ref="E63:H63"/>
    <mergeCell ref="I63:P63"/>
    <mergeCell ref="Y63:AB63"/>
    <mergeCell ref="AC63:AF63"/>
    <mergeCell ref="AG63:AI63"/>
    <mergeCell ref="AJ63:AM63"/>
    <mergeCell ref="A62:D62"/>
    <mergeCell ref="E62:H62"/>
    <mergeCell ref="I62:P62"/>
    <mergeCell ref="Y62:AB62"/>
    <mergeCell ref="AC62:AF62"/>
    <mergeCell ref="AG62:AI62"/>
    <mergeCell ref="AJ64:AM64"/>
    <mergeCell ref="A65:D65"/>
    <mergeCell ref="E65:H65"/>
    <mergeCell ref="I65:P65"/>
    <mergeCell ref="Y65:AB65"/>
    <mergeCell ref="AC65:AF65"/>
    <mergeCell ref="AG65:AI65"/>
    <mergeCell ref="AJ65:AM65"/>
    <mergeCell ref="A64:D64"/>
    <mergeCell ref="E64:H64"/>
    <mergeCell ref="I64:P64"/>
    <mergeCell ref="Y64:AB64"/>
    <mergeCell ref="AC64:AF64"/>
    <mergeCell ref="AG64:AI64"/>
    <mergeCell ref="AJ66:AM66"/>
    <mergeCell ref="A67:D67"/>
    <mergeCell ref="E67:H67"/>
    <mergeCell ref="I67:P67"/>
    <mergeCell ref="Y67:AB67"/>
    <mergeCell ref="AC67:AF67"/>
    <mergeCell ref="AG67:AI67"/>
    <mergeCell ref="AJ67:AM67"/>
    <mergeCell ref="A66:D66"/>
    <mergeCell ref="E66:H66"/>
    <mergeCell ref="I66:P66"/>
    <mergeCell ref="Y66:AB66"/>
    <mergeCell ref="AC66:AF66"/>
    <mergeCell ref="AG66:AI66"/>
    <mergeCell ref="AJ68:AM68"/>
    <mergeCell ref="A69:D69"/>
    <mergeCell ref="E69:H69"/>
    <mergeCell ref="I69:P69"/>
    <mergeCell ref="Y69:AB69"/>
    <mergeCell ref="AC69:AF69"/>
    <mergeCell ref="AG69:AI69"/>
    <mergeCell ref="AJ69:AM69"/>
    <mergeCell ref="A68:D68"/>
    <mergeCell ref="E68:H68"/>
    <mergeCell ref="I68:P68"/>
    <mergeCell ref="Y68:AB68"/>
    <mergeCell ref="AC68:AF68"/>
    <mergeCell ref="AG68:AI68"/>
    <mergeCell ref="AJ70:AM70"/>
    <mergeCell ref="A71:D71"/>
    <mergeCell ref="E71:H71"/>
    <mergeCell ref="I71:P71"/>
    <mergeCell ref="Y71:AB71"/>
    <mergeCell ref="AC71:AF71"/>
    <mergeCell ref="AG71:AI71"/>
    <mergeCell ref="AJ71:AM71"/>
    <mergeCell ref="A70:D70"/>
    <mergeCell ref="E70:H70"/>
    <mergeCell ref="I70:P70"/>
    <mergeCell ref="Y70:AB70"/>
    <mergeCell ref="AC70:AF70"/>
    <mergeCell ref="AG70:AI70"/>
    <mergeCell ref="AJ72:AM72"/>
    <mergeCell ref="A73:D73"/>
    <mergeCell ref="E73:H73"/>
    <mergeCell ref="I73:P73"/>
    <mergeCell ref="Y73:AB73"/>
    <mergeCell ref="AC73:AF73"/>
    <mergeCell ref="AG73:AI73"/>
    <mergeCell ref="AJ73:AM73"/>
    <mergeCell ref="A72:D72"/>
    <mergeCell ref="E72:H72"/>
    <mergeCell ref="I72:P72"/>
    <mergeCell ref="Y72:AB72"/>
    <mergeCell ref="AC72:AF72"/>
    <mergeCell ref="AG72:AI72"/>
    <mergeCell ref="AJ76:AM76"/>
    <mergeCell ref="A76:D76"/>
    <mergeCell ref="E76:H76"/>
    <mergeCell ref="I76:P76"/>
    <mergeCell ref="Y76:AB76"/>
    <mergeCell ref="AC76:AF76"/>
    <mergeCell ref="AG76:AI76"/>
    <mergeCell ref="AJ74:AM74"/>
    <mergeCell ref="A75:D75"/>
    <mergeCell ref="E75:H75"/>
    <mergeCell ref="I75:P75"/>
    <mergeCell ref="Y75:AB75"/>
    <mergeCell ref="AC75:AF75"/>
    <mergeCell ref="AG75:AI75"/>
    <mergeCell ref="AJ75:AM75"/>
    <mergeCell ref="A74:D74"/>
    <mergeCell ref="E74:H74"/>
    <mergeCell ref="I74:P74"/>
    <mergeCell ref="Y74:AB74"/>
    <mergeCell ref="AC74:AF74"/>
    <mergeCell ref="AG74:AI74"/>
  </mergeCells>
  <dataValidations disablePrompts="1" count="2">
    <dataValidation type="list" allowBlank="1" showInputMessage="1" showErrorMessage="1" sqref="WXW983053 A65531 LK65549 VG65549 AFC65549 AOY65549 AYU65549 BIQ65549 BSM65549 CCI65549 CME65549 CWA65549 DFW65549 DPS65549 DZO65549 EJK65549 ETG65549 FDC65549 FMY65549 FWU65549 GGQ65549 GQM65549 HAI65549 HKE65549 HUA65549 IDW65549 INS65549 IXO65549 JHK65549 JRG65549 KBC65549 KKY65549 KUU65549 LEQ65549 LOM65549 LYI65549 MIE65549 MSA65549 NBW65549 NLS65549 NVO65549 OFK65549 OPG65549 OZC65549 PIY65549 PSU65549 QCQ65549 QMM65549 QWI65549 RGE65549 RQA65549 RZW65549 SJS65549 STO65549 TDK65549 TNG65549 TXC65549 UGY65549 UQU65549 VAQ65549 VKM65549 VUI65549 WEE65549 WOA65549 WXW65549 A131067 LK131085 VG131085 AFC131085 AOY131085 AYU131085 BIQ131085 BSM131085 CCI131085 CME131085 CWA131085 DFW131085 DPS131085 DZO131085 EJK131085 ETG131085 FDC131085 FMY131085 FWU131085 GGQ131085 GQM131085 HAI131085 HKE131085 HUA131085 IDW131085 INS131085 IXO131085 JHK131085 JRG131085 KBC131085 KKY131085 KUU131085 LEQ131085 LOM131085 LYI131085 MIE131085 MSA131085 NBW131085 NLS131085 NVO131085 OFK131085 OPG131085 OZC131085 PIY131085 PSU131085 QCQ131085 QMM131085 QWI131085 RGE131085 RQA131085 RZW131085 SJS131085 STO131085 TDK131085 TNG131085 TXC131085 UGY131085 UQU131085 VAQ131085 VKM131085 VUI131085 WEE131085 WOA131085 WXW131085 A196603 LK196621 VG196621 AFC196621 AOY196621 AYU196621 BIQ196621 BSM196621 CCI196621 CME196621 CWA196621 DFW196621 DPS196621 DZO196621 EJK196621 ETG196621 FDC196621 FMY196621 FWU196621 GGQ196621 GQM196621 HAI196621 HKE196621 HUA196621 IDW196621 INS196621 IXO196621 JHK196621 JRG196621 KBC196621 KKY196621 KUU196621 LEQ196621 LOM196621 LYI196621 MIE196621 MSA196621 NBW196621 NLS196621 NVO196621 OFK196621 OPG196621 OZC196621 PIY196621 PSU196621 QCQ196621 QMM196621 QWI196621 RGE196621 RQA196621 RZW196621 SJS196621 STO196621 TDK196621 TNG196621 TXC196621 UGY196621 UQU196621 VAQ196621 VKM196621 VUI196621 WEE196621 WOA196621 WXW196621 A262139 LK262157 VG262157 AFC262157 AOY262157 AYU262157 BIQ262157 BSM262157 CCI262157 CME262157 CWA262157 DFW262157 DPS262157 DZO262157 EJK262157 ETG262157 FDC262157 FMY262157 FWU262157 GGQ262157 GQM262157 HAI262157 HKE262157 HUA262157 IDW262157 INS262157 IXO262157 JHK262157 JRG262157 KBC262157 KKY262157 KUU262157 LEQ262157 LOM262157 LYI262157 MIE262157 MSA262157 NBW262157 NLS262157 NVO262157 OFK262157 OPG262157 OZC262157 PIY262157 PSU262157 QCQ262157 QMM262157 QWI262157 RGE262157 RQA262157 RZW262157 SJS262157 STO262157 TDK262157 TNG262157 TXC262157 UGY262157 UQU262157 VAQ262157 VKM262157 VUI262157 WEE262157 WOA262157 WXW262157 A327675 LK327693 VG327693 AFC327693 AOY327693 AYU327693 BIQ327693 BSM327693 CCI327693 CME327693 CWA327693 DFW327693 DPS327693 DZO327693 EJK327693 ETG327693 FDC327693 FMY327693 FWU327693 GGQ327693 GQM327693 HAI327693 HKE327693 HUA327693 IDW327693 INS327693 IXO327693 JHK327693 JRG327693 KBC327693 KKY327693 KUU327693 LEQ327693 LOM327693 LYI327693 MIE327693 MSA327693 NBW327693 NLS327693 NVO327693 OFK327693 OPG327693 OZC327693 PIY327693 PSU327693 QCQ327693 QMM327693 QWI327693 RGE327693 RQA327693 RZW327693 SJS327693 STO327693 TDK327693 TNG327693 TXC327693 UGY327693 UQU327693 VAQ327693 VKM327693 VUI327693 WEE327693 WOA327693 WXW327693 A393211 LK393229 VG393229 AFC393229 AOY393229 AYU393229 BIQ393229 BSM393229 CCI393229 CME393229 CWA393229 DFW393229 DPS393229 DZO393229 EJK393229 ETG393229 FDC393229 FMY393229 FWU393229 GGQ393229 GQM393229 HAI393229 HKE393229 HUA393229 IDW393229 INS393229 IXO393229 JHK393229 JRG393229 KBC393229 KKY393229 KUU393229 LEQ393229 LOM393229 LYI393229 MIE393229 MSA393229 NBW393229 NLS393229 NVO393229 OFK393229 OPG393229 OZC393229 PIY393229 PSU393229 QCQ393229 QMM393229 QWI393229 RGE393229 RQA393229 RZW393229 SJS393229 STO393229 TDK393229 TNG393229 TXC393229 UGY393229 UQU393229 VAQ393229 VKM393229 VUI393229 WEE393229 WOA393229 WXW393229 A458747 LK458765 VG458765 AFC458765 AOY458765 AYU458765 BIQ458765 BSM458765 CCI458765 CME458765 CWA458765 DFW458765 DPS458765 DZO458765 EJK458765 ETG458765 FDC458765 FMY458765 FWU458765 GGQ458765 GQM458765 HAI458765 HKE458765 HUA458765 IDW458765 INS458765 IXO458765 JHK458765 JRG458765 KBC458765 KKY458765 KUU458765 LEQ458765 LOM458765 LYI458765 MIE458765 MSA458765 NBW458765 NLS458765 NVO458765 OFK458765 OPG458765 OZC458765 PIY458765 PSU458765 QCQ458765 QMM458765 QWI458765 RGE458765 RQA458765 RZW458765 SJS458765 STO458765 TDK458765 TNG458765 TXC458765 UGY458765 UQU458765 VAQ458765 VKM458765 VUI458765 WEE458765 WOA458765 WXW458765 A524283 LK524301 VG524301 AFC524301 AOY524301 AYU524301 BIQ524301 BSM524301 CCI524301 CME524301 CWA524301 DFW524301 DPS524301 DZO524301 EJK524301 ETG524301 FDC524301 FMY524301 FWU524301 GGQ524301 GQM524301 HAI524301 HKE524301 HUA524301 IDW524301 INS524301 IXO524301 JHK524301 JRG524301 KBC524301 KKY524301 KUU524301 LEQ524301 LOM524301 LYI524301 MIE524301 MSA524301 NBW524301 NLS524301 NVO524301 OFK524301 OPG524301 OZC524301 PIY524301 PSU524301 QCQ524301 QMM524301 QWI524301 RGE524301 RQA524301 RZW524301 SJS524301 STO524301 TDK524301 TNG524301 TXC524301 UGY524301 UQU524301 VAQ524301 VKM524301 VUI524301 WEE524301 WOA524301 WXW524301 A589819 LK589837 VG589837 AFC589837 AOY589837 AYU589837 BIQ589837 BSM589837 CCI589837 CME589837 CWA589837 DFW589837 DPS589837 DZO589837 EJK589837 ETG589837 FDC589837 FMY589837 FWU589837 GGQ589837 GQM589837 HAI589837 HKE589837 HUA589837 IDW589837 INS589837 IXO589837 JHK589837 JRG589837 KBC589837 KKY589837 KUU589837 LEQ589837 LOM589837 LYI589837 MIE589837 MSA589837 NBW589837 NLS589837 NVO589837 OFK589837 OPG589837 OZC589837 PIY589837 PSU589837 QCQ589837 QMM589837 QWI589837 RGE589837 RQA589837 RZW589837 SJS589837 STO589837 TDK589837 TNG589837 TXC589837 UGY589837 UQU589837 VAQ589837 VKM589837 VUI589837 WEE589837 WOA589837 WXW589837 A655355 LK655373 VG655373 AFC655373 AOY655373 AYU655373 BIQ655373 BSM655373 CCI655373 CME655373 CWA655373 DFW655373 DPS655373 DZO655373 EJK655373 ETG655373 FDC655373 FMY655373 FWU655373 GGQ655373 GQM655373 HAI655373 HKE655373 HUA655373 IDW655373 INS655373 IXO655373 JHK655373 JRG655373 KBC655373 KKY655373 KUU655373 LEQ655373 LOM655373 LYI655373 MIE655373 MSA655373 NBW655373 NLS655373 NVO655373 OFK655373 OPG655373 OZC655373 PIY655373 PSU655373 QCQ655373 QMM655373 QWI655373 RGE655373 RQA655373 RZW655373 SJS655373 STO655373 TDK655373 TNG655373 TXC655373 UGY655373 UQU655373 VAQ655373 VKM655373 VUI655373 WEE655373 WOA655373 WXW655373 A720891 LK720909 VG720909 AFC720909 AOY720909 AYU720909 BIQ720909 BSM720909 CCI720909 CME720909 CWA720909 DFW720909 DPS720909 DZO720909 EJK720909 ETG720909 FDC720909 FMY720909 FWU720909 GGQ720909 GQM720909 HAI720909 HKE720909 HUA720909 IDW720909 INS720909 IXO720909 JHK720909 JRG720909 KBC720909 KKY720909 KUU720909 LEQ720909 LOM720909 LYI720909 MIE720909 MSA720909 NBW720909 NLS720909 NVO720909 OFK720909 OPG720909 OZC720909 PIY720909 PSU720909 QCQ720909 QMM720909 QWI720909 RGE720909 RQA720909 RZW720909 SJS720909 STO720909 TDK720909 TNG720909 TXC720909 UGY720909 UQU720909 VAQ720909 VKM720909 VUI720909 WEE720909 WOA720909 WXW720909 A786427 LK786445 VG786445 AFC786445 AOY786445 AYU786445 BIQ786445 BSM786445 CCI786445 CME786445 CWA786445 DFW786445 DPS786445 DZO786445 EJK786445 ETG786445 FDC786445 FMY786445 FWU786445 GGQ786445 GQM786445 HAI786445 HKE786445 HUA786445 IDW786445 INS786445 IXO786445 JHK786445 JRG786445 KBC786445 KKY786445 KUU786445 LEQ786445 LOM786445 LYI786445 MIE786445 MSA786445 NBW786445 NLS786445 NVO786445 OFK786445 OPG786445 OZC786445 PIY786445 PSU786445 QCQ786445 QMM786445 QWI786445 RGE786445 RQA786445 RZW786445 SJS786445 STO786445 TDK786445 TNG786445 TXC786445 UGY786445 UQU786445 VAQ786445 VKM786445 VUI786445 WEE786445 WOA786445 WXW786445 A851963 LK851981 VG851981 AFC851981 AOY851981 AYU851981 BIQ851981 BSM851981 CCI851981 CME851981 CWA851981 DFW851981 DPS851981 DZO851981 EJK851981 ETG851981 FDC851981 FMY851981 FWU851981 GGQ851981 GQM851981 HAI851981 HKE851981 HUA851981 IDW851981 INS851981 IXO851981 JHK851981 JRG851981 KBC851981 KKY851981 KUU851981 LEQ851981 LOM851981 LYI851981 MIE851981 MSA851981 NBW851981 NLS851981 NVO851981 OFK851981 OPG851981 OZC851981 PIY851981 PSU851981 QCQ851981 QMM851981 QWI851981 RGE851981 RQA851981 RZW851981 SJS851981 STO851981 TDK851981 TNG851981 TXC851981 UGY851981 UQU851981 VAQ851981 VKM851981 VUI851981 WEE851981 WOA851981 WXW851981 A917499 LK917517 VG917517 AFC917517 AOY917517 AYU917517 BIQ917517 BSM917517 CCI917517 CME917517 CWA917517 DFW917517 DPS917517 DZO917517 EJK917517 ETG917517 FDC917517 FMY917517 FWU917517 GGQ917517 GQM917517 HAI917517 HKE917517 HUA917517 IDW917517 INS917517 IXO917517 JHK917517 JRG917517 KBC917517 KKY917517 KUU917517 LEQ917517 LOM917517 LYI917517 MIE917517 MSA917517 NBW917517 NLS917517 NVO917517 OFK917517 OPG917517 OZC917517 PIY917517 PSU917517 QCQ917517 QMM917517 QWI917517 RGE917517 RQA917517 RZW917517 SJS917517 STO917517 TDK917517 TNG917517 TXC917517 UGY917517 UQU917517 VAQ917517 VKM917517 VUI917517 WEE917517 WOA917517 WXW917517 A983035 LK983053 VG983053 AFC983053 AOY983053 AYU983053 BIQ983053 BSM983053 CCI983053 CME983053 CWA983053 DFW983053 DPS983053 DZO983053 EJK983053 ETG983053 FDC983053 FMY983053 FWU983053 GGQ983053 GQM983053 HAI983053 HKE983053 HUA983053 IDW983053 INS983053 IXO983053 JHK983053 JRG983053 KBC983053 KKY983053 KUU983053 LEQ983053 LOM983053 LYI983053 MIE983053 MSA983053 NBW983053 NLS983053 NVO983053 OFK983053 OPG983053 OZC983053 PIY983053 PSU983053 QCQ983053 QMM983053 QWI983053 RGE983053 RQA983053 RZW983053 SJS983053 STO983053 TDK983053 TNG983053 TXC983053 UGY983053 UQU983053 VAQ983053 VKM983053 VUI983053 WEE983053 WOA983053 WXW6 WOA6 WEE6 VUI6 VKM6 VAQ6 UQU6 UGY6 TXC6 TNG6 TDK6 STO6 SJS6 RZW6 RQA6 RGE6 QWI6 QMM6 QCQ6 PSU6 PIY6 OZC6 OPG6 OFK6 NVO6 NLS6 NBW6 MSA6 MIE6 LYI6 LOM6 LEQ6 KUU6 KKY6 KBC6 JRG6 JHK6 IXO6 INS6 IDW6 HUA6 HKE6 HAI6 GQM6 GGQ6 FWU6 FMY6 FDC6 ETG6 EJK6 DZO6 DPS6 DFW6 CWA6 CME6 CCI6 BSM6 BIQ6 AYU6 AOY6 AFC6 VG6 LK6">
      <formula1>#REF!</formula1>
    </dataValidation>
    <dataValidation type="list" allowBlank="1" showInputMessage="1" showErrorMessage="1" sqref="AE11">
      <formula1>$BS$36:$BS$64</formula1>
    </dataValidation>
  </dataValidations>
  <printOptions horizontalCentered="1"/>
  <pageMargins left="0.59055118110236227" right="0.39370078740157483" top="0.59055118110236227" bottom="0.59055118110236227" header="0" footer="0.19685039370078741"/>
  <pageSetup orientation="portrait" r:id="rId1"/>
  <headerFooter scaleWithDoc="0">
    <oddHeader xml:space="preserve">&amp;L&amp;"Eurostile Extended,Regular Negrita"&amp;16
</oddHeader>
    <oddFooter>&amp;L&amp;6Calle 26 No.69-76 Edificio Elemento Torre 1, Piso 3 – C.P. 111071
PBX: 3779555 – Información: Línea 195
Sede Operativa - Atención al Ciudadano: Calle 22D No. 120-40
www.umv.gov.co&amp;C&amp;6Página 1 de 1</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E64"/>
  <sheetViews>
    <sheetView showGridLines="0" showZeros="0" view="pageBreakPreview" topLeftCell="A13" zoomScaleSheetLayoutView="100" workbookViewId="0">
      <selection activeCell="G28" sqref="G28:G29"/>
    </sheetView>
  </sheetViews>
  <sheetFormatPr baseColWidth="10" defaultColWidth="2.7109375" defaultRowHeight="12.95" customHeight="1"/>
  <cols>
    <col min="1" max="2" width="2.7109375" style="140" customWidth="1"/>
    <col min="3" max="3" width="3.7109375" style="140" customWidth="1"/>
    <col min="4" max="4" width="2.7109375" style="140" customWidth="1"/>
    <col min="5" max="5" width="4.140625" style="140" customWidth="1"/>
    <col min="6" max="6" width="2.85546875" style="140" customWidth="1"/>
    <col min="7" max="7" width="6.85546875" style="140" customWidth="1"/>
    <col min="8" max="8" width="8.140625" style="140" customWidth="1"/>
    <col min="9" max="9" width="4.42578125" style="140" customWidth="1"/>
    <col min="10" max="10" width="3.28515625" style="140" customWidth="1"/>
    <col min="11" max="11" width="2.28515625" style="140" customWidth="1"/>
    <col min="12" max="12" width="2" style="140" customWidth="1"/>
    <col min="13" max="13" width="2.42578125" style="140" customWidth="1"/>
    <col min="14" max="14" width="3" style="140" customWidth="1"/>
    <col min="15" max="15" width="1" style="140" customWidth="1"/>
    <col min="16" max="16" width="3" style="140" customWidth="1"/>
    <col min="17" max="17" width="2.28515625" style="140" customWidth="1"/>
    <col min="18" max="18" width="2.140625" style="140" customWidth="1"/>
    <col min="19" max="19" width="2" style="140" customWidth="1"/>
    <col min="20" max="20" width="2.85546875" style="140" customWidth="1"/>
    <col min="21" max="21" width="2.42578125" style="140" customWidth="1"/>
    <col min="22" max="22" width="0.85546875" style="140" customWidth="1"/>
    <col min="23" max="23" width="1.85546875" style="140" customWidth="1"/>
    <col min="24" max="24" width="3" style="140" customWidth="1"/>
    <col min="25" max="25" width="2" style="140" customWidth="1"/>
    <col min="26" max="26" width="1.28515625" style="140" customWidth="1"/>
    <col min="27" max="27" width="3.5703125" style="140" customWidth="1"/>
    <col min="28" max="28" width="2.7109375" style="140" customWidth="1"/>
    <col min="29" max="29" width="3.28515625" style="140" customWidth="1"/>
    <col min="30" max="30" width="2" style="140" customWidth="1"/>
    <col min="31" max="32" width="1.85546875" style="140" customWidth="1"/>
    <col min="33" max="33" width="2.7109375" style="140" customWidth="1"/>
    <col min="34" max="34" width="2.140625" style="140" customWidth="1"/>
    <col min="35" max="35" width="1.5703125" style="140" customWidth="1"/>
    <col min="36" max="36" width="11.7109375" style="140" customWidth="1"/>
    <col min="37" max="60" width="2.7109375" style="140" customWidth="1"/>
    <col min="61" max="61" width="1.5703125" style="140" customWidth="1"/>
    <col min="62" max="256" width="2.7109375" style="140"/>
    <col min="257" max="259" width="2.7109375" style="140" customWidth="1"/>
    <col min="260" max="260" width="3.7109375" style="140" customWidth="1"/>
    <col min="261" max="262" width="5" style="140" customWidth="1"/>
    <col min="263" max="263" width="5.5703125" style="140" customWidth="1"/>
    <col min="264" max="264" width="5.140625" style="140" customWidth="1"/>
    <col min="265" max="265" width="4.42578125" style="140" customWidth="1"/>
    <col min="266" max="266" width="2.7109375" style="140" customWidth="1"/>
    <col min="267" max="267" width="2.5703125" style="140" customWidth="1"/>
    <col min="268" max="269" width="2.7109375" style="140" customWidth="1"/>
    <col min="270" max="273" width="3" style="140" customWidth="1"/>
    <col min="274" max="277" width="2.7109375" style="140" customWidth="1"/>
    <col min="278" max="278" width="2.85546875" style="140" customWidth="1"/>
    <col min="279" max="284" width="2.7109375" style="140" customWidth="1"/>
    <col min="285" max="285" width="3.42578125" style="140" customWidth="1"/>
    <col min="286" max="286" width="2.7109375" style="140" customWidth="1"/>
    <col min="287" max="291" width="3.5703125" style="140" customWidth="1"/>
    <col min="292" max="316" width="2.7109375" style="140" customWidth="1"/>
    <col min="317" max="317" width="1.5703125" style="140" customWidth="1"/>
    <col min="318" max="512" width="2.7109375" style="140"/>
    <col min="513" max="515" width="2.7109375" style="140" customWidth="1"/>
    <col min="516" max="516" width="3.7109375" style="140" customWidth="1"/>
    <col min="517" max="518" width="5" style="140" customWidth="1"/>
    <col min="519" max="519" width="5.5703125" style="140" customWidth="1"/>
    <col min="520" max="520" width="5.140625" style="140" customWidth="1"/>
    <col min="521" max="521" width="4.42578125" style="140" customWidth="1"/>
    <col min="522" max="522" width="2.7109375" style="140" customWidth="1"/>
    <col min="523" max="523" width="2.5703125" style="140" customWidth="1"/>
    <col min="524" max="525" width="2.7109375" style="140" customWidth="1"/>
    <col min="526" max="529" width="3" style="140" customWidth="1"/>
    <col min="530" max="533" width="2.7109375" style="140" customWidth="1"/>
    <col min="534" max="534" width="2.85546875" style="140" customWidth="1"/>
    <col min="535" max="540" width="2.7109375" style="140" customWidth="1"/>
    <col min="541" max="541" width="3.42578125" style="140" customWidth="1"/>
    <col min="542" max="542" width="2.7109375" style="140" customWidth="1"/>
    <col min="543" max="547" width="3.5703125" style="140" customWidth="1"/>
    <col min="548" max="572" width="2.7109375" style="140" customWidth="1"/>
    <col min="573" max="573" width="1.5703125" style="140" customWidth="1"/>
    <col min="574" max="768" width="2.7109375" style="140"/>
    <col min="769" max="771" width="2.7109375" style="140" customWidth="1"/>
    <col min="772" max="772" width="3.7109375" style="140" customWidth="1"/>
    <col min="773" max="774" width="5" style="140" customWidth="1"/>
    <col min="775" max="775" width="5.5703125" style="140" customWidth="1"/>
    <col min="776" max="776" width="5.140625" style="140" customWidth="1"/>
    <col min="777" max="777" width="4.42578125" style="140" customWidth="1"/>
    <col min="778" max="778" width="2.7109375" style="140" customWidth="1"/>
    <col min="779" max="779" width="2.5703125" style="140" customWidth="1"/>
    <col min="780" max="781" width="2.7109375" style="140" customWidth="1"/>
    <col min="782" max="785" width="3" style="140" customWidth="1"/>
    <col min="786" max="789" width="2.7109375" style="140" customWidth="1"/>
    <col min="790" max="790" width="2.85546875" style="140" customWidth="1"/>
    <col min="791" max="796" width="2.7109375" style="140" customWidth="1"/>
    <col min="797" max="797" width="3.42578125" style="140" customWidth="1"/>
    <col min="798" max="798" width="2.7109375" style="140" customWidth="1"/>
    <col min="799" max="803" width="3.5703125" style="140" customWidth="1"/>
    <col min="804" max="828" width="2.7109375" style="140" customWidth="1"/>
    <col min="829" max="829" width="1.5703125" style="140" customWidth="1"/>
    <col min="830" max="1024" width="2.7109375" style="140"/>
    <col min="1025" max="1027" width="2.7109375" style="140" customWidth="1"/>
    <col min="1028" max="1028" width="3.7109375" style="140" customWidth="1"/>
    <col min="1029" max="1030" width="5" style="140" customWidth="1"/>
    <col min="1031" max="1031" width="5.5703125" style="140" customWidth="1"/>
    <col min="1032" max="1032" width="5.140625" style="140" customWidth="1"/>
    <col min="1033" max="1033" width="4.42578125" style="140" customWidth="1"/>
    <col min="1034" max="1034" width="2.7109375" style="140" customWidth="1"/>
    <col min="1035" max="1035" width="2.5703125" style="140" customWidth="1"/>
    <col min="1036" max="1037" width="2.7109375" style="140" customWidth="1"/>
    <col min="1038" max="1041" width="3" style="140" customWidth="1"/>
    <col min="1042" max="1045" width="2.7109375" style="140" customWidth="1"/>
    <col min="1046" max="1046" width="2.85546875" style="140" customWidth="1"/>
    <col min="1047" max="1052" width="2.7109375" style="140" customWidth="1"/>
    <col min="1053" max="1053" width="3.42578125" style="140" customWidth="1"/>
    <col min="1054" max="1054" width="2.7109375" style="140" customWidth="1"/>
    <col min="1055" max="1059" width="3.5703125" style="140" customWidth="1"/>
    <col min="1060" max="1084" width="2.7109375" style="140" customWidth="1"/>
    <col min="1085" max="1085" width="1.5703125" style="140" customWidth="1"/>
    <col min="1086" max="1280" width="2.7109375" style="140"/>
    <col min="1281" max="1283" width="2.7109375" style="140" customWidth="1"/>
    <col min="1284" max="1284" width="3.7109375" style="140" customWidth="1"/>
    <col min="1285" max="1286" width="5" style="140" customWidth="1"/>
    <col min="1287" max="1287" width="5.5703125" style="140" customWidth="1"/>
    <col min="1288" max="1288" width="5.140625" style="140" customWidth="1"/>
    <col min="1289" max="1289" width="4.42578125" style="140" customWidth="1"/>
    <col min="1290" max="1290" width="2.7109375" style="140" customWidth="1"/>
    <col min="1291" max="1291" width="2.5703125" style="140" customWidth="1"/>
    <col min="1292" max="1293" width="2.7109375" style="140" customWidth="1"/>
    <col min="1294" max="1297" width="3" style="140" customWidth="1"/>
    <col min="1298" max="1301" width="2.7109375" style="140" customWidth="1"/>
    <col min="1302" max="1302" width="2.85546875" style="140" customWidth="1"/>
    <col min="1303" max="1308" width="2.7109375" style="140" customWidth="1"/>
    <col min="1309" max="1309" width="3.42578125" style="140" customWidth="1"/>
    <col min="1310" max="1310" width="2.7109375" style="140" customWidth="1"/>
    <col min="1311" max="1315" width="3.5703125" style="140" customWidth="1"/>
    <col min="1316" max="1340" width="2.7109375" style="140" customWidth="1"/>
    <col min="1341" max="1341" width="1.5703125" style="140" customWidth="1"/>
    <col min="1342" max="1536" width="2.7109375" style="140"/>
    <col min="1537" max="1539" width="2.7109375" style="140" customWidth="1"/>
    <col min="1540" max="1540" width="3.7109375" style="140" customWidth="1"/>
    <col min="1541" max="1542" width="5" style="140" customWidth="1"/>
    <col min="1543" max="1543" width="5.5703125" style="140" customWidth="1"/>
    <col min="1544" max="1544" width="5.140625" style="140" customWidth="1"/>
    <col min="1545" max="1545" width="4.42578125" style="140" customWidth="1"/>
    <col min="1546" max="1546" width="2.7109375" style="140" customWidth="1"/>
    <col min="1547" max="1547" width="2.5703125" style="140" customWidth="1"/>
    <col min="1548" max="1549" width="2.7109375" style="140" customWidth="1"/>
    <col min="1550" max="1553" width="3" style="140" customWidth="1"/>
    <col min="1554" max="1557" width="2.7109375" style="140" customWidth="1"/>
    <col min="1558" max="1558" width="2.85546875" style="140" customWidth="1"/>
    <col min="1559" max="1564" width="2.7109375" style="140" customWidth="1"/>
    <col min="1565" max="1565" width="3.42578125" style="140" customWidth="1"/>
    <col min="1566" max="1566" width="2.7109375" style="140" customWidth="1"/>
    <col min="1567" max="1571" width="3.5703125" style="140" customWidth="1"/>
    <col min="1572" max="1596" width="2.7109375" style="140" customWidth="1"/>
    <col min="1597" max="1597" width="1.5703125" style="140" customWidth="1"/>
    <col min="1598" max="1792" width="2.7109375" style="140"/>
    <col min="1793" max="1795" width="2.7109375" style="140" customWidth="1"/>
    <col min="1796" max="1796" width="3.7109375" style="140" customWidth="1"/>
    <col min="1797" max="1798" width="5" style="140" customWidth="1"/>
    <col min="1799" max="1799" width="5.5703125" style="140" customWidth="1"/>
    <col min="1800" max="1800" width="5.140625" style="140" customWidth="1"/>
    <col min="1801" max="1801" width="4.42578125" style="140" customWidth="1"/>
    <col min="1802" max="1802" width="2.7109375" style="140" customWidth="1"/>
    <col min="1803" max="1803" width="2.5703125" style="140" customWidth="1"/>
    <col min="1804" max="1805" width="2.7109375" style="140" customWidth="1"/>
    <col min="1806" max="1809" width="3" style="140" customWidth="1"/>
    <col min="1810" max="1813" width="2.7109375" style="140" customWidth="1"/>
    <col min="1814" max="1814" width="2.85546875" style="140" customWidth="1"/>
    <col min="1815" max="1820" width="2.7109375" style="140" customWidth="1"/>
    <col min="1821" max="1821" width="3.42578125" style="140" customWidth="1"/>
    <col min="1822" max="1822" width="2.7109375" style="140" customWidth="1"/>
    <col min="1823" max="1827" width="3.5703125" style="140" customWidth="1"/>
    <col min="1828" max="1852" width="2.7109375" style="140" customWidth="1"/>
    <col min="1853" max="1853" width="1.5703125" style="140" customWidth="1"/>
    <col min="1854" max="2048" width="2.7109375" style="140"/>
    <col min="2049" max="2051" width="2.7109375" style="140" customWidth="1"/>
    <col min="2052" max="2052" width="3.7109375" style="140" customWidth="1"/>
    <col min="2053" max="2054" width="5" style="140" customWidth="1"/>
    <col min="2055" max="2055" width="5.5703125" style="140" customWidth="1"/>
    <col min="2056" max="2056" width="5.140625" style="140" customWidth="1"/>
    <col min="2057" max="2057" width="4.42578125" style="140" customWidth="1"/>
    <col min="2058" max="2058" width="2.7109375" style="140" customWidth="1"/>
    <col min="2059" max="2059" width="2.5703125" style="140" customWidth="1"/>
    <col min="2060" max="2061" width="2.7109375" style="140" customWidth="1"/>
    <col min="2062" max="2065" width="3" style="140" customWidth="1"/>
    <col min="2066" max="2069" width="2.7109375" style="140" customWidth="1"/>
    <col min="2070" max="2070" width="2.85546875" style="140" customWidth="1"/>
    <col min="2071" max="2076" width="2.7109375" style="140" customWidth="1"/>
    <col min="2077" max="2077" width="3.42578125" style="140" customWidth="1"/>
    <col min="2078" max="2078" width="2.7109375" style="140" customWidth="1"/>
    <col min="2079" max="2083" width="3.5703125" style="140" customWidth="1"/>
    <col min="2084" max="2108" width="2.7109375" style="140" customWidth="1"/>
    <col min="2109" max="2109" width="1.5703125" style="140" customWidth="1"/>
    <col min="2110" max="2304" width="2.7109375" style="140"/>
    <col min="2305" max="2307" width="2.7109375" style="140" customWidth="1"/>
    <col min="2308" max="2308" width="3.7109375" style="140" customWidth="1"/>
    <col min="2309" max="2310" width="5" style="140" customWidth="1"/>
    <col min="2311" max="2311" width="5.5703125" style="140" customWidth="1"/>
    <col min="2312" max="2312" width="5.140625" style="140" customWidth="1"/>
    <col min="2313" max="2313" width="4.42578125" style="140" customWidth="1"/>
    <col min="2314" max="2314" width="2.7109375" style="140" customWidth="1"/>
    <col min="2315" max="2315" width="2.5703125" style="140" customWidth="1"/>
    <col min="2316" max="2317" width="2.7109375" style="140" customWidth="1"/>
    <col min="2318" max="2321" width="3" style="140" customWidth="1"/>
    <col min="2322" max="2325" width="2.7109375" style="140" customWidth="1"/>
    <col min="2326" max="2326" width="2.85546875" style="140" customWidth="1"/>
    <col min="2327" max="2332" width="2.7109375" style="140" customWidth="1"/>
    <col min="2333" max="2333" width="3.42578125" style="140" customWidth="1"/>
    <col min="2334" max="2334" width="2.7109375" style="140" customWidth="1"/>
    <col min="2335" max="2339" width="3.5703125" style="140" customWidth="1"/>
    <col min="2340" max="2364" width="2.7109375" style="140" customWidth="1"/>
    <col min="2365" max="2365" width="1.5703125" style="140" customWidth="1"/>
    <col min="2366" max="2560" width="2.7109375" style="140"/>
    <col min="2561" max="2563" width="2.7109375" style="140" customWidth="1"/>
    <col min="2564" max="2564" width="3.7109375" style="140" customWidth="1"/>
    <col min="2565" max="2566" width="5" style="140" customWidth="1"/>
    <col min="2567" max="2567" width="5.5703125" style="140" customWidth="1"/>
    <col min="2568" max="2568" width="5.140625" style="140" customWidth="1"/>
    <col min="2569" max="2569" width="4.42578125" style="140" customWidth="1"/>
    <col min="2570" max="2570" width="2.7109375" style="140" customWidth="1"/>
    <col min="2571" max="2571" width="2.5703125" style="140" customWidth="1"/>
    <col min="2572" max="2573" width="2.7109375" style="140" customWidth="1"/>
    <col min="2574" max="2577" width="3" style="140" customWidth="1"/>
    <col min="2578" max="2581" width="2.7109375" style="140" customWidth="1"/>
    <col min="2582" max="2582" width="2.85546875" style="140" customWidth="1"/>
    <col min="2583" max="2588" width="2.7109375" style="140" customWidth="1"/>
    <col min="2589" max="2589" width="3.42578125" style="140" customWidth="1"/>
    <col min="2590" max="2590" width="2.7109375" style="140" customWidth="1"/>
    <col min="2591" max="2595" width="3.5703125" style="140" customWidth="1"/>
    <col min="2596" max="2620" width="2.7109375" style="140" customWidth="1"/>
    <col min="2621" max="2621" width="1.5703125" style="140" customWidth="1"/>
    <col min="2622" max="2816" width="2.7109375" style="140"/>
    <col min="2817" max="2819" width="2.7109375" style="140" customWidth="1"/>
    <col min="2820" max="2820" width="3.7109375" style="140" customWidth="1"/>
    <col min="2821" max="2822" width="5" style="140" customWidth="1"/>
    <col min="2823" max="2823" width="5.5703125" style="140" customWidth="1"/>
    <col min="2824" max="2824" width="5.140625" style="140" customWidth="1"/>
    <col min="2825" max="2825" width="4.42578125" style="140" customWidth="1"/>
    <col min="2826" max="2826" width="2.7109375" style="140" customWidth="1"/>
    <col min="2827" max="2827" width="2.5703125" style="140" customWidth="1"/>
    <col min="2828" max="2829" width="2.7109375" style="140" customWidth="1"/>
    <col min="2830" max="2833" width="3" style="140" customWidth="1"/>
    <col min="2834" max="2837" width="2.7109375" style="140" customWidth="1"/>
    <col min="2838" max="2838" width="2.85546875" style="140" customWidth="1"/>
    <col min="2839" max="2844" width="2.7109375" style="140" customWidth="1"/>
    <col min="2845" max="2845" width="3.42578125" style="140" customWidth="1"/>
    <col min="2846" max="2846" width="2.7109375" style="140" customWidth="1"/>
    <col min="2847" max="2851" width="3.5703125" style="140" customWidth="1"/>
    <col min="2852" max="2876" width="2.7109375" style="140" customWidth="1"/>
    <col min="2877" max="2877" width="1.5703125" style="140" customWidth="1"/>
    <col min="2878" max="3072" width="2.7109375" style="140"/>
    <col min="3073" max="3075" width="2.7109375" style="140" customWidth="1"/>
    <col min="3076" max="3076" width="3.7109375" style="140" customWidth="1"/>
    <col min="3077" max="3078" width="5" style="140" customWidth="1"/>
    <col min="3079" max="3079" width="5.5703125" style="140" customWidth="1"/>
    <col min="3080" max="3080" width="5.140625" style="140" customWidth="1"/>
    <col min="3081" max="3081" width="4.42578125" style="140" customWidth="1"/>
    <col min="3082" max="3082" width="2.7109375" style="140" customWidth="1"/>
    <col min="3083" max="3083" width="2.5703125" style="140" customWidth="1"/>
    <col min="3084" max="3085" width="2.7109375" style="140" customWidth="1"/>
    <col min="3086" max="3089" width="3" style="140" customWidth="1"/>
    <col min="3090" max="3093" width="2.7109375" style="140" customWidth="1"/>
    <col min="3094" max="3094" width="2.85546875" style="140" customWidth="1"/>
    <col min="3095" max="3100" width="2.7109375" style="140" customWidth="1"/>
    <col min="3101" max="3101" width="3.42578125" style="140" customWidth="1"/>
    <col min="3102" max="3102" width="2.7109375" style="140" customWidth="1"/>
    <col min="3103" max="3107" width="3.5703125" style="140" customWidth="1"/>
    <col min="3108" max="3132" width="2.7109375" style="140" customWidth="1"/>
    <col min="3133" max="3133" width="1.5703125" style="140" customWidth="1"/>
    <col min="3134" max="3328" width="2.7109375" style="140"/>
    <col min="3329" max="3331" width="2.7109375" style="140" customWidth="1"/>
    <col min="3332" max="3332" width="3.7109375" style="140" customWidth="1"/>
    <col min="3333" max="3334" width="5" style="140" customWidth="1"/>
    <col min="3335" max="3335" width="5.5703125" style="140" customWidth="1"/>
    <col min="3336" max="3336" width="5.140625" style="140" customWidth="1"/>
    <col min="3337" max="3337" width="4.42578125" style="140" customWidth="1"/>
    <col min="3338" max="3338" width="2.7109375" style="140" customWidth="1"/>
    <col min="3339" max="3339" width="2.5703125" style="140" customWidth="1"/>
    <col min="3340" max="3341" width="2.7109375" style="140" customWidth="1"/>
    <col min="3342" max="3345" width="3" style="140" customWidth="1"/>
    <col min="3346" max="3349" width="2.7109375" style="140" customWidth="1"/>
    <col min="3350" max="3350" width="2.85546875" style="140" customWidth="1"/>
    <col min="3351" max="3356" width="2.7109375" style="140" customWidth="1"/>
    <col min="3357" max="3357" width="3.42578125" style="140" customWidth="1"/>
    <col min="3358" max="3358" width="2.7109375" style="140" customWidth="1"/>
    <col min="3359" max="3363" width="3.5703125" style="140" customWidth="1"/>
    <col min="3364" max="3388" width="2.7109375" style="140" customWidth="1"/>
    <col min="3389" max="3389" width="1.5703125" style="140" customWidth="1"/>
    <col min="3390" max="3584" width="2.7109375" style="140"/>
    <col min="3585" max="3587" width="2.7109375" style="140" customWidth="1"/>
    <col min="3588" max="3588" width="3.7109375" style="140" customWidth="1"/>
    <col min="3589" max="3590" width="5" style="140" customWidth="1"/>
    <col min="3591" max="3591" width="5.5703125" style="140" customWidth="1"/>
    <col min="3592" max="3592" width="5.140625" style="140" customWidth="1"/>
    <col min="3593" max="3593" width="4.42578125" style="140" customWidth="1"/>
    <col min="3594" max="3594" width="2.7109375" style="140" customWidth="1"/>
    <col min="3595" max="3595" width="2.5703125" style="140" customWidth="1"/>
    <col min="3596" max="3597" width="2.7109375" style="140" customWidth="1"/>
    <col min="3598" max="3601" width="3" style="140" customWidth="1"/>
    <col min="3602" max="3605" width="2.7109375" style="140" customWidth="1"/>
    <col min="3606" max="3606" width="2.85546875" style="140" customWidth="1"/>
    <col min="3607" max="3612" width="2.7109375" style="140" customWidth="1"/>
    <col min="3613" max="3613" width="3.42578125" style="140" customWidth="1"/>
    <col min="3614" max="3614" width="2.7109375" style="140" customWidth="1"/>
    <col min="3615" max="3619" width="3.5703125" style="140" customWidth="1"/>
    <col min="3620" max="3644" width="2.7109375" style="140" customWidth="1"/>
    <col min="3645" max="3645" width="1.5703125" style="140" customWidth="1"/>
    <col min="3646" max="3840" width="2.7109375" style="140"/>
    <col min="3841" max="3843" width="2.7109375" style="140" customWidth="1"/>
    <col min="3844" max="3844" width="3.7109375" style="140" customWidth="1"/>
    <col min="3845" max="3846" width="5" style="140" customWidth="1"/>
    <col min="3847" max="3847" width="5.5703125" style="140" customWidth="1"/>
    <col min="3848" max="3848" width="5.140625" style="140" customWidth="1"/>
    <col min="3849" max="3849" width="4.42578125" style="140" customWidth="1"/>
    <col min="3850" max="3850" width="2.7109375" style="140" customWidth="1"/>
    <col min="3851" max="3851" width="2.5703125" style="140" customWidth="1"/>
    <col min="3852" max="3853" width="2.7109375" style="140" customWidth="1"/>
    <col min="3854" max="3857" width="3" style="140" customWidth="1"/>
    <col min="3858" max="3861" width="2.7109375" style="140" customWidth="1"/>
    <col min="3862" max="3862" width="2.85546875" style="140" customWidth="1"/>
    <col min="3863" max="3868" width="2.7109375" style="140" customWidth="1"/>
    <col min="3869" max="3869" width="3.42578125" style="140" customWidth="1"/>
    <col min="3870" max="3870" width="2.7109375" style="140" customWidth="1"/>
    <col min="3871" max="3875" width="3.5703125" style="140" customWidth="1"/>
    <col min="3876" max="3900" width="2.7109375" style="140" customWidth="1"/>
    <col min="3901" max="3901" width="1.5703125" style="140" customWidth="1"/>
    <col min="3902" max="4096" width="2.7109375" style="140"/>
    <col min="4097" max="4099" width="2.7109375" style="140" customWidth="1"/>
    <col min="4100" max="4100" width="3.7109375" style="140" customWidth="1"/>
    <col min="4101" max="4102" width="5" style="140" customWidth="1"/>
    <col min="4103" max="4103" width="5.5703125" style="140" customWidth="1"/>
    <col min="4104" max="4104" width="5.140625" style="140" customWidth="1"/>
    <col min="4105" max="4105" width="4.42578125" style="140" customWidth="1"/>
    <col min="4106" max="4106" width="2.7109375" style="140" customWidth="1"/>
    <col min="4107" max="4107" width="2.5703125" style="140" customWidth="1"/>
    <col min="4108" max="4109" width="2.7109375" style="140" customWidth="1"/>
    <col min="4110" max="4113" width="3" style="140" customWidth="1"/>
    <col min="4114" max="4117" width="2.7109375" style="140" customWidth="1"/>
    <col min="4118" max="4118" width="2.85546875" style="140" customWidth="1"/>
    <col min="4119" max="4124" width="2.7109375" style="140" customWidth="1"/>
    <col min="4125" max="4125" width="3.42578125" style="140" customWidth="1"/>
    <col min="4126" max="4126" width="2.7109375" style="140" customWidth="1"/>
    <col min="4127" max="4131" width="3.5703125" style="140" customWidth="1"/>
    <col min="4132" max="4156" width="2.7109375" style="140" customWidth="1"/>
    <col min="4157" max="4157" width="1.5703125" style="140" customWidth="1"/>
    <col min="4158" max="4352" width="2.7109375" style="140"/>
    <col min="4353" max="4355" width="2.7109375" style="140" customWidth="1"/>
    <col min="4356" max="4356" width="3.7109375" style="140" customWidth="1"/>
    <col min="4357" max="4358" width="5" style="140" customWidth="1"/>
    <col min="4359" max="4359" width="5.5703125" style="140" customWidth="1"/>
    <col min="4360" max="4360" width="5.140625" style="140" customWidth="1"/>
    <col min="4361" max="4361" width="4.42578125" style="140" customWidth="1"/>
    <col min="4362" max="4362" width="2.7109375" style="140" customWidth="1"/>
    <col min="4363" max="4363" width="2.5703125" style="140" customWidth="1"/>
    <col min="4364" max="4365" width="2.7109375" style="140" customWidth="1"/>
    <col min="4366" max="4369" width="3" style="140" customWidth="1"/>
    <col min="4370" max="4373" width="2.7109375" style="140" customWidth="1"/>
    <col min="4374" max="4374" width="2.85546875" style="140" customWidth="1"/>
    <col min="4375" max="4380" width="2.7109375" style="140" customWidth="1"/>
    <col min="4381" max="4381" width="3.42578125" style="140" customWidth="1"/>
    <col min="4382" max="4382" width="2.7109375" style="140" customWidth="1"/>
    <col min="4383" max="4387" width="3.5703125" style="140" customWidth="1"/>
    <col min="4388" max="4412" width="2.7109375" style="140" customWidth="1"/>
    <col min="4413" max="4413" width="1.5703125" style="140" customWidth="1"/>
    <col min="4414" max="4608" width="2.7109375" style="140"/>
    <col min="4609" max="4611" width="2.7109375" style="140" customWidth="1"/>
    <col min="4612" max="4612" width="3.7109375" style="140" customWidth="1"/>
    <col min="4613" max="4614" width="5" style="140" customWidth="1"/>
    <col min="4615" max="4615" width="5.5703125" style="140" customWidth="1"/>
    <col min="4616" max="4616" width="5.140625" style="140" customWidth="1"/>
    <col min="4617" max="4617" width="4.42578125" style="140" customWidth="1"/>
    <col min="4618" max="4618" width="2.7109375" style="140" customWidth="1"/>
    <col min="4619" max="4619" width="2.5703125" style="140" customWidth="1"/>
    <col min="4620" max="4621" width="2.7109375" style="140" customWidth="1"/>
    <col min="4622" max="4625" width="3" style="140" customWidth="1"/>
    <col min="4626" max="4629" width="2.7109375" style="140" customWidth="1"/>
    <col min="4630" max="4630" width="2.85546875" style="140" customWidth="1"/>
    <col min="4631" max="4636" width="2.7109375" style="140" customWidth="1"/>
    <col min="4637" max="4637" width="3.42578125" style="140" customWidth="1"/>
    <col min="4638" max="4638" width="2.7109375" style="140" customWidth="1"/>
    <col min="4639" max="4643" width="3.5703125" style="140" customWidth="1"/>
    <col min="4644" max="4668" width="2.7109375" style="140" customWidth="1"/>
    <col min="4669" max="4669" width="1.5703125" style="140" customWidth="1"/>
    <col min="4670" max="4864" width="2.7109375" style="140"/>
    <col min="4865" max="4867" width="2.7109375" style="140" customWidth="1"/>
    <col min="4868" max="4868" width="3.7109375" style="140" customWidth="1"/>
    <col min="4869" max="4870" width="5" style="140" customWidth="1"/>
    <col min="4871" max="4871" width="5.5703125" style="140" customWidth="1"/>
    <col min="4872" max="4872" width="5.140625" style="140" customWidth="1"/>
    <col min="4873" max="4873" width="4.42578125" style="140" customWidth="1"/>
    <col min="4874" max="4874" width="2.7109375" style="140" customWidth="1"/>
    <col min="4875" max="4875" width="2.5703125" style="140" customWidth="1"/>
    <col min="4876" max="4877" width="2.7109375" style="140" customWidth="1"/>
    <col min="4878" max="4881" width="3" style="140" customWidth="1"/>
    <col min="4882" max="4885" width="2.7109375" style="140" customWidth="1"/>
    <col min="4886" max="4886" width="2.85546875" style="140" customWidth="1"/>
    <col min="4887" max="4892" width="2.7109375" style="140" customWidth="1"/>
    <col min="4893" max="4893" width="3.42578125" style="140" customWidth="1"/>
    <col min="4894" max="4894" width="2.7109375" style="140" customWidth="1"/>
    <col min="4895" max="4899" width="3.5703125" style="140" customWidth="1"/>
    <col min="4900" max="4924" width="2.7109375" style="140" customWidth="1"/>
    <col min="4925" max="4925" width="1.5703125" style="140" customWidth="1"/>
    <col min="4926" max="5120" width="2.7109375" style="140"/>
    <col min="5121" max="5123" width="2.7109375" style="140" customWidth="1"/>
    <col min="5124" max="5124" width="3.7109375" style="140" customWidth="1"/>
    <col min="5125" max="5126" width="5" style="140" customWidth="1"/>
    <col min="5127" max="5127" width="5.5703125" style="140" customWidth="1"/>
    <col min="5128" max="5128" width="5.140625" style="140" customWidth="1"/>
    <col min="5129" max="5129" width="4.42578125" style="140" customWidth="1"/>
    <col min="5130" max="5130" width="2.7109375" style="140" customWidth="1"/>
    <col min="5131" max="5131" width="2.5703125" style="140" customWidth="1"/>
    <col min="5132" max="5133" width="2.7109375" style="140" customWidth="1"/>
    <col min="5134" max="5137" width="3" style="140" customWidth="1"/>
    <col min="5138" max="5141" width="2.7109375" style="140" customWidth="1"/>
    <col min="5142" max="5142" width="2.85546875" style="140" customWidth="1"/>
    <col min="5143" max="5148" width="2.7109375" style="140" customWidth="1"/>
    <col min="5149" max="5149" width="3.42578125" style="140" customWidth="1"/>
    <col min="5150" max="5150" width="2.7109375" style="140" customWidth="1"/>
    <col min="5151" max="5155" width="3.5703125" style="140" customWidth="1"/>
    <col min="5156" max="5180" width="2.7109375" style="140" customWidth="1"/>
    <col min="5181" max="5181" width="1.5703125" style="140" customWidth="1"/>
    <col min="5182" max="5376" width="2.7109375" style="140"/>
    <col min="5377" max="5379" width="2.7109375" style="140" customWidth="1"/>
    <col min="5380" max="5380" width="3.7109375" style="140" customWidth="1"/>
    <col min="5381" max="5382" width="5" style="140" customWidth="1"/>
    <col min="5383" max="5383" width="5.5703125" style="140" customWidth="1"/>
    <col min="5384" max="5384" width="5.140625" style="140" customWidth="1"/>
    <col min="5385" max="5385" width="4.42578125" style="140" customWidth="1"/>
    <col min="5386" max="5386" width="2.7109375" style="140" customWidth="1"/>
    <col min="5387" max="5387" width="2.5703125" style="140" customWidth="1"/>
    <col min="5388" max="5389" width="2.7109375" style="140" customWidth="1"/>
    <col min="5390" max="5393" width="3" style="140" customWidth="1"/>
    <col min="5394" max="5397" width="2.7109375" style="140" customWidth="1"/>
    <col min="5398" max="5398" width="2.85546875" style="140" customWidth="1"/>
    <col min="5399" max="5404" width="2.7109375" style="140" customWidth="1"/>
    <col min="5405" max="5405" width="3.42578125" style="140" customWidth="1"/>
    <col min="5406" max="5406" width="2.7109375" style="140" customWidth="1"/>
    <col min="5407" max="5411" width="3.5703125" style="140" customWidth="1"/>
    <col min="5412" max="5436" width="2.7109375" style="140" customWidth="1"/>
    <col min="5437" max="5437" width="1.5703125" style="140" customWidth="1"/>
    <col min="5438" max="5632" width="2.7109375" style="140"/>
    <col min="5633" max="5635" width="2.7109375" style="140" customWidth="1"/>
    <col min="5636" max="5636" width="3.7109375" style="140" customWidth="1"/>
    <col min="5637" max="5638" width="5" style="140" customWidth="1"/>
    <col min="5639" max="5639" width="5.5703125" style="140" customWidth="1"/>
    <col min="5640" max="5640" width="5.140625" style="140" customWidth="1"/>
    <col min="5641" max="5641" width="4.42578125" style="140" customWidth="1"/>
    <col min="5642" max="5642" width="2.7109375" style="140" customWidth="1"/>
    <col min="5643" max="5643" width="2.5703125" style="140" customWidth="1"/>
    <col min="5644" max="5645" width="2.7109375" style="140" customWidth="1"/>
    <col min="5646" max="5649" width="3" style="140" customWidth="1"/>
    <col min="5650" max="5653" width="2.7109375" style="140" customWidth="1"/>
    <col min="5654" max="5654" width="2.85546875" style="140" customWidth="1"/>
    <col min="5655" max="5660" width="2.7109375" style="140" customWidth="1"/>
    <col min="5661" max="5661" width="3.42578125" style="140" customWidth="1"/>
    <col min="5662" max="5662" width="2.7109375" style="140" customWidth="1"/>
    <col min="5663" max="5667" width="3.5703125" style="140" customWidth="1"/>
    <col min="5668" max="5692" width="2.7109375" style="140" customWidth="1"/>
    <col min="5693" max="5693" width="1.5703125" style="140" customWidth="1"/>
    <col min="5694" max="5888" width="2.7109375" style="140"/>
    <col min="5889" max="5891" width="2.7109375" style="140" customWidth="1"/>
    <col min="5892" max="5892" width="3.7109375" style="140" customWidth="1"/>
    <col min="5893" max="5894" width="5" style="140" customWidth="1"/>
    <col min="5895" max="5895" width="5.5703125" style="140" customWidth="1"/>
    <col min="5896" max="5896" width="5.140625" style="140" customWidth="1"/>
    <col min="5897" max="5897" width="4.42578125" style="140" customWidth="1"/>
    <col min="5898" max="5898" width="2.7109375" style="140" customWidth="1"/>
    <col min="5899" max="5899" width="2.5703125" style="140" customWidth="1"/>
    <col min="5900" max="5901" width="2.7109375" style="140" customWidth="1"/>
    <col min="5902" max="5905" width="3" style="140" customWidth="1"/>
    <col min="5906" max="5909" width="2.7109375" style="140" customWidth="1"/>
    <col min="5910" max="5910" width="2.85546875" style="140" customWidth="1"/>
    <col min="5911" max="5916" width="2.7109375" style="140" customWidth="1"/>
    <col min="5917" max="5917" width="3.42578125" style="140" customWidth="1"/>
    <col min="5918" max="5918" width="2.7109375" style="140" customWidth="1"/>
    <col min="5919" max="5923" width="3.5703125" style="140" customWidth="1"/>
    <col min="5924" max="5948" width="2.7109375" style="140" customWidth="1"/>
    <col min="5949" max="5949" width="1.5703125" style="140" customWidth="1"/>
    <col min="5950" max="6144" width="2.7109375" style="140"/>
    <col min="6145" max="6147" width="2.7109375" style="140" customWidth="1"/>
    <col min="6148" max="6148" width="3.7109375" style="140" customWidth="1"/>
    <col min="6149" max="6150" width="5" style="140" customWidth="1"/>
    <col min="6151" max="6151" width="5.5703125" style="140" customWidth="1"/>
    <col min="6152" max="6152" width="5.140625" style="140" customWidth="1"/>
    <col min="6153" max="6153" width="4.42578125" style="140" customWidth="1"/>
    <col min="6154" max="6154" width="2.7109375" style="140" customWidth="1"/>
    <col min="6155" max="6155" width="2.5703125" style="140" customWidth="1"/>
    <col min="6156" max="6157" width="2.7109375" style="140" customWidth="1"/>
    <col min="6158" max="6161" width="3" style="140" customWidth="1"/>
    <col min="6162" max="6165" width="2.7109375" style="140" customWidth="1"/>
    <col min="6166" max="6166" width="2.85546875" style="140" customWidth="1"/>
    <col min="6167" max="6172" width="2.7109375" style="140" customWidth="1"/>
    <col min="6173" max="6173" width="3.42578125" style="140" customWidth="1"/>
    <col min="6174" max="6174" width="2.7109375" style="140" customWidth="1"/>
    <col min="6175" max="6179" width="3.5703125" style="140" customWidth="1"/>
    <col min="6180" max="6204" width="2.7109375" style="140" customWidth="1"/>
    <col min="6205" max="6205" width="1.5703125" style="140" customWidth="1"/>
    <col min="6206" max="6400" width="2.7109375" style="140"/>
    <col min="6401" max="6403" width="2.7109375" style="140" customWidth="1"/>
    <col min="6404" max="6404" width="3.7109375" style="140" customWidth="1"/>
    <col min="6405" max="6406" width="5" style="140" customWidth="1"/>
    <col min="6407" max="6407" width="5.5703125" style="140" customWidth="1"/>
    <col min="6408" max="6408" width="5.140625" style="140" customWidth="1"/>
    <col min="6409" max="6409" width="4.42578125" style="140" customWidth="1"/>
    <col min="6410" max="6410" width="2.7109375" style="140" customWidth="1"/>
    <col min="6411" max="6411" width="2.5703125" style="140" customWidth="1"/>
    <col min="6412" max="6413" width="2.7109375" style="140" customWidth="1"/>
    <col min="6414" max="6417" width="3" style="140" customWidth="1"/>
    <col min="6418" max="6421" width="2.7109375" style="140" customWidth="1"/>
    <col min="6422" max="6422" width="2.85546875" style="140" customWidth="1"/>
    <col min="6423" max="6428" width="2.7109375" style="140" customWidth="1"/>
    <col min="6429" max="6429" width="3.42578125" style="140" customWidth="1"/>
    <col min="6430" max="6430" width="2.7109375" style="140" customWidth="1"/>
    <col min="6431" max="6435" width="3.5703125" style="140" customWidth="1"/>
    <col min="6436" max="6460" width="2.7109375" style="140" customWidth="1"/>
    <col min="6461" max="6461" width="1.5703125" style="140" customWidth="1"/>
    <col min="6462" max="6656" width="2.7109375" style="140"/>
    <col min="6657" max="6659" width="2.7109375" style="140" customWidth="1"/>
    <col min="6660" max="6660" width="3.7109375" style="140" customWidth="1"/>
    <col min="6661" max="6662" width="5" style="140" customWidth="1"/>
    <col min="6663" max="6663" width="5.5703125" style="140" customWidth="1"/>
    <col min="6664" max="6664" width="5.140625" style="140" customWidth="1"/>
    <col min="6665" max="6665" width="4.42578125" style="140" customWidth="1"/>
    <col min="6666" max="6666" width="2.7109375" style="140" customWidth="1"/>
    <col min="6667" max="6667" width="2.5703125" style="140" customWidth="1"/>
    <col min="6668" max="6669" width="2.7109375" style="140" customWidth="1"/>
    <col min="6670" max="6673" width="3" style="140" customWidth="1"/>
    <col min="6674" max="6677" width="2.7109375" style="140" customWidth="1"/>
    <col min="6678" max="6678" width="2.85546875" style="140" customWidth="1"/>
    <col min="6679" max="6684" width="2.7109375" style="140" customWidth="1"/>
    <col min="6685" max="6685" width="3.42578125" style="140" customWidth="1"/>
    <col min="6686" max="6686" width="2.7109375" style="140" customWidth="1"/>
    <col min="6687" max="6691" width="3.5703125" style="140" customWidth="1"/>
    <col min="6692" max="6716" width="2.7109375" style="140" customWidth="1"/>
    <col min="6717" max="6717" width="1.5703125" style="140" customWidth="1"/>
    <col min="6718" max="6912" width="2.7109375" style="140"/>
    <col min="6913" max="6915" width="2.7109375" style="140" customWidth="1"/>
    <col min="6916" max="6916" width="3.7109375" style="140" customWidth="1"/>
    <col min="6917" max="6918" width="5" style="140" customWidth="1"/>
    <col min="6919" max="6919" width="5.5703125" style="140" customWidth="1"/>
    <col min="6920" max="6920" width="5.140625" style="140" customWidth="1"/>
    <col min="6921" max="6921" width="4.42578125" style="140" customWidth="1"/>
    <col min="6922" max="6922" width="2.7109375" style="140" customWidth="1"/>
    <col min="6923" max="6923" width="2.5703125" style="140" customWidth="1"/>
    <col min="6924" max="6925" width="2.7109375" style="140" customWidth="1"/>
    <col min="6926" max="6929" width="3" style="140" customWidth="1"/>
    <col min="6930" max="6933" width="2.7109375" style="140" customWidth="1"/>
    <col min="6934" max="6934" width="2.85546875" style="140" customWidth="1"/>
    <col min="6935" max="6940" width="2.7109375" style="140" customWidth="1"/>
    <col min="6941" max="6941" width="3.42578125" style="140" customWidth="1"/>
    <col min="6942" max="6942" width="2.7109375" style="140" customWidth="1"/>
    <col min="6943" max="6947" width="3.5703125" style="140" customWidth="1"/>
    <col min="6948" max="6972" width="2.7109375" style="140" customWidth="1"/>
    <col min="6973" max="6973" width="1.5703125" style="140" customWidth="1"/>
    <col min="6974" max="7168" width="2.7109375" style="140"/>
    <col min="7169" max="7171" width="2.7109375" style="140" customWidth="1"/>
    <col min="7172" max="7172" width="3.7109375" style="140" customWidth="1"/>
    <col min="7173" max="7174" width="5" style="140" customWidth="1"/>
    <col min="7175" max="7175" width="5.5703125" style="140" customWidth="1"/>
    <col min="7176" max="7176" width="5.140625" style="140" customWidth="1"/>
    <col min="7177" max="7177" width="4.42578125" style="140" customWidth="1"/>
    <col min="7178" max="7178" width="2.7109375" style="140" customWidth="1"/>
    <col min="7179" max="7179" width="2.5703125" style="140" customWidth="1"/>
    <col min="7180" max="7181" width="2.7109375" style="140" customWidth="1"/>
    <col min="7182" max="7185" width="3" style="140" customWidth="1"/>
    <col min="7186" max="7189" width="2.7109375" style="140" customWidth="1"/>
    <col min="7190" max="7190" width="2.85546875" style="140" customWidth="1"/>
    <col min="7191" max="7196" width="2.7109375" style="140" customWidth="1"/>
    <col min="7197" max="7197" width="3.42578125" style="140" customWidth="1"/>
    <col min="7198" max="7198" width="2.7109375" style="140" customWidth="1"/>
    <col min="7199" max="7203" width="3.5703125" style="140" customWidth="1"/>
    <col min="7204" max="7228" width="2.7109375" style="140" customWidth="1"/>
    <col min="7229" max="7229" width="1.5703125" style="140" customWidth="1"/>
    <col min="7230" max="7424" width="2.7109375" style="140"/>
    <col min="7425" max="7427" width="2.7109375" style="140" customWidth="1"/>
    <col min="7428" max="7428" width="3.7109375" style="140" customWidth="1"/>
    <col min="7429" max="7430" width="5" style="140" customWidth="1"/>
    <col min="7431" max="7431" width="5.5703125" style="140" customWidth="1"/>
    <col min="7432" max="7432" width="5.140625" style="140" customWidth="1"/>
    <col min="7433" max="7433" width="4.42578125" style="140" customWidth="1"/>
    <col min="7434" max="7434" width="2.7109375" style="140" customWidth="1"/>
    <col min="7435" max="7435" width="2.5703125" style="140" customWidth="1"/>
    <col min="7436" max="7437" width="2.7109375" style="140" customWidth="1"/>
    <col min="7438" max="7441" width="3" style="140" customWidth="1"/>
    <col min="7442" max="7445" width="2.7109375" style="140" customWidth="1"/>
    <col min="7446" max="7446" width="2.85546875" style="140" customWidth="1"/>
    <col min="7447" max="7452" width="2.7109375" style="140" customWidth="1"/>
    <col min="7453" max="7453" width="3.42578125" style="140" customWidth="1"/>
    <col min="7454" max="7454" width="2.7109375" style="140" customWidth="1"/>
    <col min="7455" max="7459" width="3.5703125" style="140" customWidth="1"/>
    <col min="7460" max="7484" width="2.7109375" style="140" customWidth="1"/>
    <col min="7485" max="7485" width="1.5703125" style="140" customWidth="1"/>
    <col min="7486" max="7680" width="2.7109375" style="140"/>
    <col min="7681" max="7683" width="2.7109375" style="140" customWidth="1"/>
    <col min="7684" max="7684" width="3.7109375" style="140" customWidth="1"/>
    <col min="7685" max="7686" width="5" style="140" customWidth="1"/>
    <col min="7687" max="7687" width="5.5703125" style="140" customWidth="1"/>
    <col min="7688" max="7688" width="5.140625" style="140" customWidth="1"/>
    <col min="7689" max="7689" width="4.42578125" style="140" customWidth="1"/>
    <col min="7690" max="7690" width="2.7109375" style="140" customWidth="1"/>
    <col min="7691" max="7691" width="2.5703125" style="140" customWidth="1"/>
    <col min="7692" max="7693" width="2.7109375" style="140" customWidth="1"/>
    <col min="7694" max="7697" width="3" style="140" customWidth="1"/>
    <col min="7698" max="7701" width="2.7109375" style="140" customWidth="1"/>
    <col min="7702" max="7702" width="2.85546875" style="140" customWidth="1"/>
    <col min="7703" max="7708" width="2.7109375" style="140" customWidth="1"/>
    <col min="7709" max="7709" width="3.42578125" style="140" customWidth="1"/>
    <col min="7710" max="7710" width="2.7109375" style="140" customWidth="1"/>
    <col min="7711" max="7715" width="3.5703125" style="140" customWidth="1"/>
    <col min="7716" max="7740" width="2.7109375" style="140" customWidth="1"/>
    <col min="7741" max="7741" width="1.5703125" style="140" customWidth="1"/>
    <col min="7742" max="7936" width="2.7109375" style="140"/>
    <col min="7937" max="7939" width="2.7109375" style="140" customWidth="1"/>
    <col min="7940" max="7940" width="3.7109375" style="140" customWidth="1"/>
    <col min="7941" max="7942" width="5" style="140" customWidth="1"/>
    <col min="7943" max="7943" width="5.5703125" style="140" customWidth="1"/>
    <col min="7944" max="7944" width="5.140625" style="140" customWidth="1"/>
    <col min="7945" max="7945" width="4.42578125" style="140" customWidth="1"/>
    <col min="7946" max="7946" width="2.7109375" style="140" customWidth="1"/>
    <col min="7947" max="7947" width="2.5703125" style="140" customWidth="1"/>
    <col min="7948" max="7949" width="2.7109375" style="140" customWidth="1"/>
    <col min="7950" max="7953" width="3" style="140" customWidth="1"/>
    <col min="7954" max="7957" width="2.7109375" style="140" customWidth="1"/>
    <col min="7958" max="7958" width="2.85546875" style="140" customWidth="1"/>
    <col min="7959" max="7964" width="2.7109375" style="140" customWidth="1"/>
    <col min="7965" max="7965" width="3.42578125" style="140" customWidth="1"/>
    <col min="7966" max="7966" width="2.7109375" style="140" customWidth="1"/>
    <col min="7967" max="7971" width="3.5703125" style="140" customWidth="1"/>
    <col min="7972" max="7996" width="2.7109375" style="140" customWidth="1"/>
    <col min="7997" max="7997" width="1.5703125" style="140" customWidth="1"/>
    <col min="7998" max="8192" width="2.7109375" style="140"/>
    <col min="8193" max="8195" width="2.7109375" style="140" customWidth="1"/>
    <col min="8196" max="8196" width="3.7109375" style="140" customWidth="1"/>
    <col min="8197" max="8198" width="5" style="140" customWidth="1"/>
    <col min="8199" max="8199" width="5.5703125" style="140" customWidth="1"/>
    <col min="8200" max="8200" width="5.140625" style="140" customWidth="1"/>
    <col min="8201" max="8201" width="4.42578125" style="140" customWidth="1"/>
    <col min="8202" max="8202" width="2.7109375" style="140" customWidth="1"/>
    <col min="8203" max="8203" width="2.5703125" style="140" customWidth="1"/>
    <col min="8204" max="8205" width="2.7109375" style="140" customWidth="1"/>
    <col min="8206" max="8209" width="3" style="140" customWidth="1"/>
    <col min="8210" max="8213" width="2.7109375" style="140" customWidth="1"/>
    <col min="8214" max="8214" width="2.85546875" style="140" customWidth="1"/>
    <col min="8215" max="8220" width="2.7109375" style="140" customWidth="1"/>
    <col min="8221" max="8221" width="3.42578125" style="140" customWidth="1"/>
    <col min="8222" max="8222" width="2.7109375" style="140" customWidth="1"/>
    <col min="8223" max="8227" width="3.5703125" style="140" customWidth="1"/>
    <col min="8228" max="8252" width="2.7109375" style="140" customWidth="1"/>
    <col min="8253" max="8253" width="1.5703125" style="140" customWidth="1"/>
    <col min="8254" max="8448" width="2.7109375" style="140"/>
    <col min="8449" max="8451" width="2.7109375" style="140" customWidth="1"/>
    <col min="8452" max="8452" width="3.7109375" style="140" customWidth="1"/>
    <col min="8453" max="8454" width="5" style="140" customWidth="1"/>
    <col min="8455" max="8455" width="5.5703125" style="140" customWidth="1"/>
    <col min="8456" max="8456" width="5.140625" style="140" customWidth="1"/>
    <col min="8457" max="8457" width="4.42578125" style="140" customWidth="1"/>
    <col min="8458" max="8458" width="2.7109375" style="140" customWidth="1"/>
    <col min="8459" max="8459" width="2.5703125" style="140" customWidth="1"/>
    <col min="8460" max="8461" width="2.7109375" style="140" customWidth="1"/>
    <col min="8462" max="8465" width="3" style="140" customWidth="1"/>
    <col min="8466" max="8469" width="2.7109375" style="140" customWidth="1"/>
    <col min="8470" max="8470" width="2.85546875" style="140" customWidth="1"/>
    <col min="8471" max="8476" width="2.7109375" style="140" customWidth="1"/>
    <col min="8477" max="8477" width="3.42578125" style="140" customWidth="1"/>
    <col min="8478" max="8478" width="2.7109375" style="140" customWidth="1"/>
    <col min="8479" max="8483" width="3.5703125" style="140" customWidth="1"/>
    <col min="8484" max="8508" width="2.7109375" style="140" customWidth="1"/>
    <col min="8509" max="8509" width="1.5703125" style="140" customWidth="1"/>
    <col min="8510" max="8704" width="2.7109375" style="140"/>
    <col min="8705" max="8707" width="2.7109375" style="140" customWidth="1"/>
    <col min="8708" max="8708" width="3.7109375" style="140" customWidth="1"/>
    <col min="8709" max="8710" width="5" style="140" customWidth="1"/>
    <col min="8711" max="8711" width="5.5703125" style="140" customWidth="1"/>
    <col min="8712" max="8712" width="5.140625" style="140" customWidth="1"/>
    <col min="8713" max="8713" width="4.42578125" style="140" customWidth="1"/>
    <col min="8714" max="8714" width="2.7109375" style="140" customWidth="1"/>
    <col min="8715" max="8715" width="2.5703125" style="140" customWidth="1"/>
    <col min="8716" max="8717" width="2.7109375" style="140" customWidth="1"/>
    <col min="8718" max="8721" width="3" style="140" customWidth="1"/>
    <col min="8722" max="8725" width="2.7109375" style="140" customWidth="1"/>
    <col min="8726" max="8726" width="2.85546875" style="140" customWidth="1"/>
    <col min="8727" max="8732" width="2.7109375" style="140" customWidth="1"/>
    <col min="8733" max="8733" width="3.42578125" style="140" customWidth="1"/>
    <col min="8734" max="8734" width="2.7109375" style="140" customWidth="1"/>
    <col min="8735" max="8739" width="3.5703125" style="140" customWidth="1"/>
    <col min="8740" max="8764" width="2.7109375" style="140" customWidth="1"/>
    <col min="8765" max="8765" width="1.5703125" style="140" customWidth="1"/>
    <col min="8766" max="8960" width="2.7109375" style="140"/>
    <col min="8961" max="8963" width="2.7109375" style="140" customWidth="1"/>
    <col min="8964" max="8964" width="3.7109375" style="140" customWidth="1"/>
    <col min="8965" max="8966" width="5" style="140" customWidth="1"/>
    <col min="8967" max="8967" width="5.5703125" style="140" customWidth="1"/>
    <col min="8968" max="8968" width="5.140625" style="140" customWidth="1"/>
    <col min="8969" max="8969" width="4.42578125" style="140" customWidth="1"/>
    <col min="8970" max="8970" width="2.7109375" style="140" customWidth="1"/>
    <col min="8971" max="8971" width="2.5703125" style="140" customWidth="1"/>
    <col min="8972" max="8973" width="2.7109375" style="140" customWidth="1"/>
    <col min="8974" max="8977" width="3" style="140" customWidth="1"/>
    <col min="8978" max="8981" width="2.7109375" style="140" customWidth="1"/>
    <col min="8982" max="8982" width="2.85546875" style="140" customWidth="1"/>
    <col min="8983" max="8988" width="2.7109375" style="140" customWidth="1"/>
    <col min="8989" max="8989" width="3.42578125" style="140" customWidth="1"/>
    <col min="8990" max="8990" width="2.7109375" style="140" customWidth="1"/>
    <col min="8991" max="8995" width="3.5703125" style="140" customWidth="1"/>
    <col min="8996" max="9020" width="2.7109375" style="140" customWidth="1"/>
    <col min="9021" max="9021" width="1.5703125" style="140" customWidth="1"/>
    <col min="9022" max="9216" width="2.7109375" style="140"/>
    <col min="9217" max="9219" width="2.7109375" style="140" customWidth="1"/>
    <col min="9220" max="9220" width="3.7109375" style="140" customWidth="1"/>
    <col min="9221" max="9222" width="5" style="140" customWidth="1"/>
    <col min="9223" max="9223" width="5.5703125" style="140" customWidth="1"/>
    <col min="9224" max="9224" width="5.140625" style="140" customWidth="1"/>
    <col min="9225" max="9225" width="4.42578125" style="140" customWidth="1"/>
    <col min="9226" max="9226" width="2.7109375" style="140" customWidth="1"/>
    <col min="9227" max="9227" width="2.5703125" style="140" customWidth="1"/>
    <col min="9228" max="9229" width="2.7109375" style="140" customWidth="1"/>
    <col min="9230" max="9233" width="3" style="140" customWidth="1"/>
    <col min="9234" max="9237" width="2.7109375" style="140" customWidth="1"/>
    <col min="9238" max="9238" width="2.85546875" style="140" customWidth="1"/>
    <col min="9239" max="9244" width="2.7109375" style="140" customWidth="1"/>
    <col min="9245" max="9245" width="3.42578125" style="140" customWidth="1"/>
    <col min="9246" max="9246" width="2.7109375" style="140" customWidth="1"/>
    <col min="9247" max="9251" width="3.5703125" style="140" customWidth="1"/>
    <col min="9252" max="9276" width="2.7109375" style="140" customWidth="1"/>
    <col min="9277" max="9277" width="1.5703125" style="140" customWidth="1"/>
    <col min="9278" max="9472" width="2.7109375" style="140"/>
    <col min="9473" max="9475" width="2.7109375" style="140" customWidth="1"/>
    <col min="9476" max="9476" width="3.7109375" style="140" customWidth="1"/>
    <col min="9477" max="9478" width="5" style="140" customWidth="1"/>
    <col min="9479" max="9479" width="5.5703125" style="140" customWidth="1"/>
    <col min="9480" max="9480" width="5.140625" style="140" customWidth="1"/>
    <col min="9481" max="9481" width="4.42578125" style="140" customWidth="1"/>
    <col min="9482" max="9482" width="2.7109375" style="140" customWidth="1"/>
    <col min="9483" max="9483" width="2.5703125" style="140" customWidth="1"/>
    <col min="9484" max="9485" width="2.7109375" style="140" customWidth="1"/>
    <col min="9486" max="9489" width="3" style="140" customWidth="1"/>
    <col min="9490" max="9493" width="2.7109375" style="140" customWidth="1"/>
    <col min="9494" max="9494" width="2.85546875" style="140" customWidth="1"/>
    <col min="9495" max="9500" width="2.7109375" style="140" customWidth="1"/>
    <col min="9501" max="9501" width="3.42578125" style="140" customWidth="1"/>
    <col min="9502" max="9502" width="2.7109375" style="140" customWidth="1"/>
    <col min="9503" max="9507" width="3.5703125" style="140" customWidth="1"/>
    <col min="9508" max="9532" width="2.7109375" style="140" customWidth="1"/>
    <col min="9533" max="9533" width="1.5703125" style="140" customWidth="1"/>
    <col min="9534" max="9728" width="2.7109375" style="140"/>
    <col min="9729" max="9731" width="2.7109375" style="140" customWidth="1"/>
    <col min="9732" max="9732" width="3.7109375" style="140" customWidth="1"/>
    <col min="9733" max="9734" width="5" style="140" customWidth="1"/>
    <col min="9735" max="9735" width="5.5703125" style="140" customWidth="1"/>
    <col min="9736" max="9736" width="5.140625" style="140" customWidth="1"/>
    <col min="9737" max="9737" width="4.42578125" style="140" customWidth="1"/>
    <col min="9738" max="9738" width="2.7109375" style="140" customWidth="1"/>
    <col min="9739" max="9739" width="2.5703125" style="140" customWidth="1"/>
    <col min="9740" max="9741" width="2.7109375" style="140" customWidth="1"/>
    <col min="9742" max="9745" width="3" style="140" customWidth="1"/>
    <col min="9746" max="9749" width="2.7109375" style="140" customWidth="1"/>
    <col min="9750" max="9750" width="2.85546875" style="140" customWidth="1"/>
    <col min="9751" max="9756" width="2.7109375" style="140" customWidth="1"/>
    <col min="9757" max="9757" width="3.42578125" style="140" customWidth="1"/>
    <col min="9758" max="9758" width="2.7109375" style="140" customWidth="1"/>
    <col min="9759" max="9763" width="3.5703125" style="140" customWidth="1"/>
    <col min="9764" max="9788" width="2.7109375" style="140" customWidth="1"/>
    <col min="9789" max="9789" width="1.5703125" style="140" customWidth="1"/>
    <col min="9790" max="9984" width="2.7109375" style="140"/>
    <col min="9985" max="9987" width="2.7109375" style="140" customWidth="1"/>
    <col min="9988" max="9988" width="3.7109375" style="140" customWidth="1"/>
    <col min="9989" max="9990" width="5" style="140" customWidth="1"/>
    <col min="9991" max="9991" width="5.5703125" style="140" customWidth="1"/>
    <col min="9992" max="9992" width="5.140625" style="140" customWidth="1"/>
    <col min="9993" max="9993" width="4.42578125" style="140" customWidth="1"/>
    <col min="9994" max="9994" width="2.7109375" style="140" customWidth="1"/>
    <col min="9995" max="9995" width="2.5703125" style="140" customWidth="1"/>
    <col min="9996" max="9997" width="2.7109375" style="140" customWidth="1"/>
    <col min="9998" max="10001" width="3" style="140" customWidth="1"/>
    <col min="10002" max="10005" width="2.7109375" style="140" customWidth="1"/>
    <col min="10006" max="10006" width="2.85546875" style="140" customWidth="1"/>
    <col min="10007" max="10012" width="2.7109375" style="140" customWidth="1"/>
    <col min="10013" max="10013" width="3.42578125" style="140" customWidth="1"/>
    <col min="10014" max="10014" width="2.7109375" style="140" customWidth="1"/>
    <col min="10015" max="10019" width="3.5703125" style="140" customWidth="1"/>
    <col min="10020" max="10044" width="2.7109375" style="140" customWidth="1"/>
    <col min="10045" max="10045" width="1.5703125" style="140" customWidth="1"/>
    <col min="10046" max="10240" width="2.7109375" style="140"/>
    <col min="10241" max="10243" width="2.7109375" style="140" customWidth="1"/>
    <col min="10244" max="10244" width="3.7109375" style="140" customWidth="1"/>
    <col min="10245" max="10246" width="5" style="140" customWidth="1"/>
    <col min="10247" max="10247" width="5.5703125" style="140" customWidth="1"/>
    <col min="10248" max="10248" width="5.140625" style="140" customWidth="1"/>
    <col min="10249" max="10249" width="4.42578125" style="140" customWidth="1"/>
    <col min="10250" max="10250" width="2.7109375" style="140" customWidth="1"/>
    <col min="10251" max="10251" width="2.5703125" style="140" customWidth="1"/>
    <col min="10252" max="10253" width="2.7109375" style="140" customWidth="1"/>
    <col min="10254" max="10257" width="3" style="140" customWidth="1"/>
    <col min="10258" max="10261" width="2.7109375" style="140" customWidth="1"/>
    <col min="10262" max="10262" width="2.85546875" style="140" customWidth="1"/>
    <col min="10263" max="10268" width="2.7109375" style="140" customWidth="1"/>
    <col min="10269" max="10269" width="3.42578125" style="140" customWidth="1"/>
    <col min="10270" max="10270" width="2.7109375" style="140" customWidth="1"/>
    <col min="10271" max="10275" width="3.5703125" style="140" customWidth="1"/>
    <col min="10276" max="10300" width="2.7109375" style="140" customWidth="1"/>
    <col min="10301" max="10301" width="1.5703125" style="140" customWidth="1"/>
    <col min="10302" max="10496" width="2.7109375" style="140"/>
    <col min="10497" max="10499" width="2.7109375" style="140" customWidth="1"/>
    <col min="10500" max="10500" width="3.7109375" style="140" customWidth="1"/>
    <col min="10501" max="10502" width="5" style="140" customWidth="1"/>
    <col min="10503" max="10503" width="5.5703125" style="140" customWidth="1"/>
    <col min="10504" max="10504" width="5.140625" style="140" customWidth="1"/>
    <col min="10505" max="10505" width="4.42578125" style="140" customWidth="1"/>
    <col min="10506" max="10506" width="2.7109375" style="140" customWidth="1"/>
    <col min="10507" max="10507" width="2.5703125" style="140" customWidth="1"/>
    <col min="10508" max="10509" width="2.7109375" style="140" customWidth="1"/>
    <col min="10510" max="10513" width="3" style="140" customWidth="1"/>
    <col min="10514" max="10517" width="2.7109375" style="140" customWidth="1"/>
    <col min="10518" max="10518" width="2.85546875" style="140" customWidth="1"/>
    <col min="10519" max="10524" width="2.7109375" style="140" customWidth="1"/>
    <col min="10525" max="10525" width="3.42578125" style="140" customWidth="1"/>
    <col min="10526" max="10526" width="2.7109375" style="140" customWidth="1"/>
    <col min="10527" max="10531" width="3.5703125" style="140" customWidth="1"/>
    <col min="10532" max="10556" width="2.7109375" style="140" customWidth="1"/>
    <col min="10557" max="10557" width="1.5703125" style="140" customWidth="1"/>
    <col min="10558" max="10752" width="2.7109375" style="140"/>
    <col min="10753" max="10755" width="2.7109375" style="140" customWidth="1"/>
    <col min="10756" max="10756" width="3.7109375" style="140" customWidth="1"/>
    <col min="10757" max="10758" width="5" style="140" customWidth="1"/>
    <col min="10759" max="10759" width="5.5703125" style="140" customWidth="1"/>
    <col min="10760" max="10760" width="5.140625" style="140" customWidth="1"/>
    <col min="10761" max="10761" width="4.42578125" style="140" customWidth="1"/>
    <col min="10762" max="10762" width="2.7109375" style="140" customWidth="1"/>
    <col min="10763" max="10763" width="2.5703125" style="140" customWidth="1"/>
    <col min="10764" max="10765" width="2.7109375" style="140" customWidth="1"/>
    <col min="10766" max="10769" width="3" style="140" customWidth="1"/>
    <col min="10770" max="10773" width="2.7109375" style="140" customWidth="1"/>
    <col min="10774" max="10774" width="2.85546875" style="140" customWidth="1"/>
    <col min="10775" max="10780" width="2.7109375" style="140" customWidth="1"/>
    <col min="10781" max="10781" width="3.42578125" style="140" customWidth="1"/>
    <col min="10782" max="10782" width="2.7109375" style="140" customWidth="1"/>
    <col min="10783" max="10787" width="3.5703125" style="140" customWidth="1"/>
    <col min="10788" max="10812" width="2.7109375" style="140" customWidth="1"/>
    <col min="10813" max="10813" width="1.5703125" style="140" customWidth="1"/>
    <col min="10814" max="11008" width="2.7109375" style="140"/>
    <col min="11009" max="11011" width="2.7109375" style="140" customWidth="1"/>
    <col min="11012" max="11012" width="3.7109375" style="140" customWidth="1"/>
    <col min="11013" max="11014" width="5" style="140" customWidth="1"/>
    <col min="11015" max="11015" width="5.5703125" style="140" customWidth="1"/>
    <col min="11016" max="11016" width="5.140625" style="140" customWidth="1"/>
    <col min="11017" max="11017" width="4.42578125" style="140" customWidth="1"/>
    <col min="11018" max="11018" width="2.7109375" style="140" customWidth="1"/>
    <col min="11019" max="11019" width="2.5703125" style="140" customWidth="1"/>
    <col min="11020" max="11021" width="2.7109375" style="140" customWidth="1"/>
    <col min="11022" max="11025" width="3" style="140" customWidth="1"/>
    <col min="11026" max="11029" width="2.7109375" style="140" customWidth="1"/>
    <col min="11030" max="11030" width="2.85546875" style="140" customWidth="1"/>
    <col min="11031" max="11036" width="2.7109375" style="140" customWidth="1"/>
    <col min="11037" max="11037" width="3.42578125" style="140" customWidth="1"/>
    <col min="11038" max="11038" width="2.7109375" style="140" customWidth="1"/>
    <col min="11039" max="11043" width="3.5703125" style="140" customWidth="1"/>
    <col min="11044" max="11068" width="2.7109375" style="140" customWidth="1"/>
    <col min="11069" max="11069" width="1.5703125" style="140" customWidth="1"/>
    <col min="11070" max="11264" width="2.7109375" style="140"/>
    <col min="11265" max="11267" width="2.7109375" style="140" customWidth="1"/>
    <col min="11268" max="11268" width="3.7109375" style="140" customWidth="1"/>
    <col min="11269" max="11270" width="5" style="140" customWidth="1"/>
    <col min="11271" max="11271" width="5.5703125" style="140" customWidth="1"/>
    <col min="11272" max="11272" width="5.140625" style="140" customWidth="1"/>
    <col min="11273" max="11273" width="4.42578125" style="140" customWidth="1"/>
    <col min="11274" max="11274" width="2.7109375" style="140" customWidth="1"/>
    <col min="11275" max="11275" width="2.5703125" style="140" customWidth="1"/>
    <col min="11276" max="11277" width="2.7109375" style="140" customWidth="1"/>
    <col min="11278" max="11281" width="3" style="140" customWidth="1"/>
    <col min="11282" max="11285" width="2.7109375" style="140" customWidth="1"/>
    <col min="11286" max="11286" width="2.85546875" style="140" customWidth="1"/>
    <col min="11287" max="11292" width="2.7109375" style="140" customWidth="1"/>
    <col min="11293" max="11293" width="3.42578125" style="140" customWidth="1"/>
    <col min="11294" max="11294" width="2.7109375" style="140" customWidth="1"/>
    <col min="11295" max="11299" width="3.5703125" style="140" customWidth="1"/>
    <col min="11300" max="11324" width="2.7109375" style="140" customWidth="1"/>
    <col min="11325" max="11325" width="1.5703125" style="140" customWidth="1"/>
    <col min="11326" max="11520" width="2.7109375" style="140"/>
    <col min="11521" max="11523" width="2.7109375" style="140" customWidth="1"/>
    <col min="11524" max="11524" width="3.7109375" style="140" customWidth="1"/>
    <col min="11525" max="11526" width="5" style="140" customWidth="1"/>
    <col min="11527" max="11527" width="5.5703125" style="140" customWidth="1"/>
    <col min="11528" max="11528" width="5.140625" style="140" customWidth="1"/>
    <col min="11529" max="11529" width="4.42578125" style="140" customWidth="1"/>
    <col min="11530" max="11530" width="2.7109375" style="140" customWidth="1"/>
    <col min="11531" max="11531" width="2.5703125" style="140" customWidth="1"/>
    <col min="11532" max="11533" width="2.7109375" style="140" customWidth="1"/>
    <col min="11534" max="11537" width="3" style="140" customWidth="1"/>
    <col min="11538" max="11541" width="2.7109375" style="140" customWidth="1"/>
    <col min="11542" max="11542" width="2.85546875" style="140" customWidth="1"/>
    <col min="11543" max="11548" width="2.7109375" style="140" customWidth="1"/>
    <col min="11549" max="11549" width="3.42578125" style="140" customWidth="1"/>
    <col min="11550" max="11550" width="2.7109375" style="140" customWidth="1"/>
    <col min="11551" max="11555" width="3.5703125" style="140" customWidth="1"/>
    <col min="11556" max="11580" width="2.7109375" style="140" customWidth="1"/>
    <col min="11581" max="11581" width="1.5703125" style="140" customWidth="1"/>
    <col min="11582" max="11776" width="2.7109375" style="140"/>
    <col min="11777" max="11779" width="2.7109375" style="140" customWidth="1"/>
    <col min="11780" max="11780" width="3.7109375" style="140" customWidth="1"/>
    <col min="11781" max="11782" width="5" style="140" customWidth="1"/>
    <col min="11783" max="11783" width="5.5703125" style="140" customWidth="1"/>
    <col min="11784" max="11784" width="5.140625" style="140" customWidth="1"/>
    <col min="11785" max="11785" width="4.42578125" style="140" customWidth="1"/>
    <col min="11786" max="11786" width="2.7109375" style="140" customWidth="1"/>
    <col min="11787" max="11787" width="2.5703125" style="140" customWidth="1"/>
    <col min="11788" max="11789" width="2.7109375" style="140" customWidth="1"/>
    <col min="11790" max="11793" width="3" style="140" customWidth="1"/>
    <col min="11794" max="11797" width="2.7109375" style="140" customWidth="1"/>
    <col min="11798" max="11798" width="2.85546875" style="140" customWidth="1"/>
    <col min="11799" max="11804" width="2.7109375" style="140" customWidth="1"/>
    <col min="11805" max="11805" width="3.42578125" style="140" customWidth="1"/>
    <col min="11806" max="11806" width="2.7109375" style="140" customWidth="1"/>
    <col min="11807" max="11811" width="3.5703125" style="140" customWidth="1"/>
    <col min="11812" max="11836" width="2.7109375" style="140" customWidth="1"/>
    <col min="11837" max="11837" width="1.5703125" style="140" customWidth="1"/>
    <col min="11838" max="12032" width="2.7109375" style="140"/>
    <col min="12033" max="12035" width="2.7109375" style="140" customWidth="1"/>
    <col min="12036" max="12036" width="3.7109375" style="140" customWidth="1"/>
    <col min="12037" max="12038" width="5" style="140" customWidth="1"/>
    <col min="12039" max="12039" width="5.5703125" style="140" customWidth="1"/>
    <col min="12040" max="12040" width="5.140625" style="140" customWidth="1"/>
    <col min="12041" max="12041" width="4.42578125" style="140" customWidth="1"/>
    <col min="12042" max="12042" width="2.7109375" style="140" customWidth="1"/>
    <col min="12043" max="12043" width="2.5703125" style="140" customWidth="1"/>
    <col min="12044" max="12045" width="2.7109375" style="140" customWidth="1"/>
    <col min="12046" max="12049" width="3" style="140" customWidth="1"/>
    <col min="12050" max="12053" width="2.7109375" style="140" customWidth="1"/>
    <col min="12054" max="12054" width="2.85546875" style="140" customWidth="1"/>
    <col min="12055" max="12060" width="2.7109375" style="140" customWidth="1"/>
    <col min="12061" max="12061" width="3.42578125" style="140" customWidth="1"/>
    <col min="12062" max="12062" width="2.7109375" style="140" customWidth="1"/>
    <col min="12063" max="12067" width="3.5703125" style="140" customWidth="1"/>
    <col min="12068" max="12092" width="2.7109375" style="140" customWidth="1"/>
    <col min="12093" max="12093" width="1.5703125" style="140" customWidth="1"/>
    <col min="12094" max="12288" width="2.7109375" style="140"/>
    <col min="12289" max="12291" width="2.7109375" style="140" customWidth="1"/>
    <col min="12292" max="12292" width="3.7109375" style="140" customWidth="1"/>
    <col min="12293" max="12294" width="5" style="140" customWidth="1"/>
    <col min="12295" max="12295" width="5.5703125" style="140" customWidth="1"/>
    <col min="12296" max="12296" width="5.140625" style="140" customWidth="1"/>
    <col min="12297" max="12297" width="4.42578125" style="140" customWidth="1"/>
    <col min="12298" max="12298" width="2.7109375" style="140" customWidth="1"/>
    <col min="12299" max="12299" width="2.5703125" style="140" customWidth="1"/>
    <col min="12300" max="12301" width="2.7109375" style="140" customWidth="1"/>
    <col min="12302" max="12305" width="3" style="140" customWidth="1"/>
    <col min="12306" max="12309" width="2.7109375" style="140" customWidth="1"/>
    <col min="12310" max="12310" width="2.85546875" style="140" customWidth="1"/>
    <col min="12311" max="12316" width="2.7109375" style="140" customWidth="1"/>
    <col min="12317" max="12317" width="3.42578125" style="140" customWidth="1"/>
    <col min="12318" max="12318" width="2.7109375" style="140" customWidth="1"/>
    <col min="12319" max="12323" width="3.5703125" style="140" customWidth="1"/>
    <col min="12324" max="12348" width="2.7109375" style="140" customWidth="1"/>
    <col min="12349" max="12349" width="1.5703125" style="140" customWidth="1"/>
    <col min="12350" max="12544" width="2.7109375" style="140"/>
    <col min="12545" max="12547" width="2.7109375" style="140" customWidth="1"/>
    <col min="12548" max="12548" width="3.7109375" style="140" customWidth="1"/>
    <col min="12549" max="12550" width="5" style="140" customWidth="1"/>
    <col min="12551" max="12551" width="5.5703125" style="140" customWidth="1"/>
    <col min="12552" max="12552" width="5.140625" style="140" customWidth="1"/>
    <col min="12553" max="12553" width="4.42578125" style="140" customWidth="1"/>
    <col min="12554" max="12554" width="2.7109375" style="140" customWidth="1"/>
    <col min="12555" max="12555" width="2.5703125" style="140" customWidth="1"/>
    <col min="12556" max="12557" width="2.7109375" style="140" customWidth="1"/>
    <col min="12558" max="12561" width="3" style="140" customWidth="1"/>
    <col min="12562" max="12565" width="2.7109375" style="140" customWidth="1"/>
    <col min="12566" max="12566" width="2.85546875" style="140" customWidth="1"/>
    <col min="12567" max="12572" width="2.7109375" style="140" customWidth="1"/>
    <col min="12573" max="12573" width="3.42578125" style="140" customWidth="1"/>
    <col min="12574" max="12574" width="2.7109375" style="140" customWidth="1"/>
    <col min="12575" max="12579" width="3.5703125" style="140" customWidth="1"/>
    <col min="12580" max="12604" width="2.7109375" style="140" customWidth="1"/>
    <col min="12605" max="12605" width="1.5703125" style="140" customWidth="1"/>
    <col min="12606" max="12800" width="2.7109375" style="140"/>
    <col min="12801" max="12803" width="2.7109375" style="140" customWidth="1"/>
    <col min="12804" max="12804" width="3.7109375" style="140" customWidth="1"/>
    <col min="12805" max="12806" width="5" style="140" customWidth="1"/>
    <col min="12807" max="12807" width="5.5703125" style="140" customWidth="1"/>
    <col min="12808" max="12808" width="5.140625" style="140" customWidth="1"/>
    <col min="12809" max="12809" width="4.42578125" style="140" customWidth="1"/>
    <col min="12810" max="12810" width="2.7109375" style="140" customWidth="1"/>
    <col min="12811" max="12811" width="2.5703125" style="140" customWidth="1"/>
    <col min="12812" max="12813" width="2.7109375" style="140" customWidth="1"/>
    <col min="12814" max="12817" width="3" style="140" customWidth="1"/>
    <col min="12818" max="12821" width="2.7109375" style="140" customWidth="1"/>
    <col min="12822" max="12822" width="2.85546875" style="140" customWidth="1"/>
    <col min="12823" max="12828" width="2.7109375" style="140" customWidth="1"/>
    <col min="12829" max="12829" width="3.42578125" style="140" customWidth="1"/>
    <col min="12830" max="12830" width="2.7109375" style="140" customWidth="1"/>
    <col min="12831" max="12835" width="3.5703125" style="140" customWidth="1"/>
    <col min="12836" max="12860" width="2.7109375" style="140" customWidth="1"/>
    <col min="12861" max="12861" width="1.5703125" style="140" customWidth="1"/>
    <col min="12862" max="13056" width="2.7109375" style="140"/>
    <col min="13057" max="13059" width="2.7109375" style="140" customWidth="1"/>
    <col min="13060" max="13060" width="3.7109375" style="140" customWidth="1"/>
    <col min="13061" max="13062" width="5" style="140" customWidth="1"/>
    <col min="13063" max="13063" width="5.5703125" style="140" customWidth="1"/>
    <col min="13064" max="13064" width="5.140625" style="140" customWidth="1"/>
    <col min="13065" max="13065" width="4.42578125" style="140" customWidth="1"/>
    <col min="13066" max="13066" width="2.7109375" style="140" customWidth="1"/>
    <col min="13067" max="13067" width="2.5703125" style="140" customWidth="1"/>
    <col min="13068" max="13069" width="2.7109375" style="140" customWidth="1"/>
    <col min="13070" max="13073" width="3" style="140" customWidth="1"/>
    <col min="13074" max="13077" width="2.7109375" style="140" customWidth="1"/>
    <col min="13078" max="13078" width="2.85546875" style="140" customWidth="1"/>
    <col min="13079" max="13084" width="2.7109375" style="140" customWidth="1"/>
    <col min="13085" max="13085" width="3.42578125" style="140" customWidth="1"/>
    <col min="13086" max="13086" width="2.7109375" style="140" customWidth="1"/>
    <col min="13087" max="13091" width="3.5703125" style="140" customWidth="1"/>
    <col min="13092" max="13116" width="2.7109375" style="140" customWidth="1"/>
    <col min="13117" max="13117" width="1.5703125" style="140" customWidth="1"/>
    <col min="13118" max="13312" width="2.7109375" style="140"/>
    <col min="13313" max="13315" width="2.7109375" style="140" customWidth="1"/>
    <col min="13316" max="13316" width="3.7109375" style="140" customWidth="1"/>
    <col min="13317" max="13318" width="5" style="140" customWidth="1"/>
    <col min="13319" max="13319" width="5.5703125" style="140" customWidth="1"/>
    <col min="13320" max="13320" width="5.140625" style="140" customWidth="1"/>
    <col min="13321" max="13321" width="4.42578125" style="140" customWidth="1"/>
    <col min="13322" max="13322" width="2.7109375" style="140" customWidth="1"/>
    <col min="13323" max="13323" width="2.5703125" style="140" customWidth="1"/>
    <col min="13324" max="13325" width="2.7109375" style="140" customWidth="1"/>
    <col min="13326" max="13329" width="3" style="140" customWidth="1"/>
    <col min="13330" max="13333" width="2.7109375" style="140" customWidth="1"/>
    <col min="13334" max="13334" width="2.85546875" style="140" customWidth="1"/>
    <col min="13335" max="13340" width="2.7109375" style="140" customWidth="1"/>
    <col min="13341" max="13341" width="3.42578125" style="140" customWidth="1"/>
    <col min="13342" max="13342" width="2.7109375" style="140" customWidth="1"/>
    <col min="13343" max="13347" width="3.5703125" style="140" customWidth="1"/>
    <col min="13348" max="13372" width="2.7109375" style="140" customWidth="1"/>
    <col min="13373" max="13373" width="1.5703125" style="140" customWidth="1"/>
    <col min="13374" max="13568" width="2.7109375" style="140"/>
    <col min="13569" max="13571" width="2.7109375" style="140" customWidth="1"/>
    <col min="13572" max="13572" width="3.7109375" style="140" customWidth="1"/>
    <col min="13573" max="13574" width="5" style="140" customWidth="1"/>
    <col min="13575" max="13575" width="5.5703125" style="140" customWidth="1"/>
    <col min="13576" max="13576" width="5.140625" style="140" customWidth="1"/>
    <col min="13577" max="13577" width="4.42578125" style="140" customWidth="1"/>
    <col min="13578" max="13578" width="2.7109375" style="140" customWidth="1"/>
    <col min="13579" max="13579" width="2.5703125" style="140" customWidth="1"/>
    <col min="13580" max="13581" width="2.7109375" style="140" customWidth="1"/>
    <col min="13582" max="13585" width="3" style="140" customWidth="1"/>
    <col min="13586" max="13589" width="2.7109375" style="140" customWidth="1"/>
    <col min="13590" max="13590" width="2.85546875" style="140" customWidth="1"/>
    <col min="13591" max="13596" width="2.7109375" style="140" customWidth="1"/>
    <col min="13597" max="13597" width="3.42578125" style="140" customWidth="1"/>
    <col min="13598" max="13598" width="2.7109375" style="140" customWidth="1"/>
    <col min="13599" max="13603" width="3.5703125" style="140" customWidth="1"/>
    <col min="13604" max="13628" width="2.7109375" style="140" customWidth="1"/>
    <col min="13629" max="13629" width="1.5703125" style="140" customWidth="1"/>
    <col min="13630" max="13824" width="2.7109375" style="140"/>
    <col min="13825" max="13827" width="2.7109375" style="140" customWidth="1"/>
    <col min="13828" max="13828" width="3.7109375" style="140" customWidth="1"/>
    <col min="13829" max="13830" width="5" style="140" customWidth="1"/>
    <col min="13831" max="13831" width="5.5703125" style="140" customWidth="1"/>
    <col min="13832" max="13832" width="5.140625" style="140" customWidth="1"/>
    <col min="13833" max="13833" width="4.42578125" style="140" customWidth="1"/>
    <col min="13834" max="13834" width="2.7109375" style="140" customWidth="1"/>
    <col min="13835" max="13835" width="2.5703125" style="140" customWidth="1"/>
    <col min="13836" max="13837" width="2.7109375" style="140" customWidth="1"/>
    <col min="13838" max="13841" width="3" style="140" customWidth="1"/>
    <col min="13842" max="13845" width="2.7109375" style="140" customWidth="1"/>
    <col min="13846" max="13846" width="2.85546875" style="140" customWidth="1"/>
    <col min="13847" max="13852" width="2.7109375" style="140" customWidth="1"/>
    <col min="13853" max="13853" width="3.42578125" style="140" customWidth="1"/>
    <col min="13854" max="13854" width="2.7109375" style="140" customWidth="1"/>
    <col min="13855" max="13859" width="3.5703125" style="140" customWidth="1"/>
    <col min="13860" max="13884" width="2.7109375" style="140" customWidth="1"/>
    <col min="13885" max="13885" width="1.5703125" style="140" customWidth="1"/>
    <col min="13886" max="14080" width="2.7109375" style="140"/>
    <col min="14081" max="14083" width="2.7109375" style="140" customWidth="1"/>
    <col min="14084" max="14084" width="3.7109375" style="140" customWidth="1"/>
    <col min="14085" max="14086" width="5" style="140" customWidth="1"/>
    <col min="14087" max="14087" width="5.5703125" style="140" customWidth="1"/>
    <col min="14088" max="14088" width="5.140625" style="140" customWidth="1"/>
    <col min="14089" max="14089" width="4.42578125" style="140" customWidth="1"/>
    <col min="14090" max="14090" width="2.7109375" style="140" customWidth="1"/>
    <col min="14091" max="14091" width="2.5703125" style="140" customWidth="1"/>
    <col min="14092" max="14093" width="2.7109375" style="140" customWidth="1"/>
    <col min="14094" max="14097" width="3" style="140" customWidth="1"/>
    <col min="14098" max="14101" width="2.7109375" style="140" customWidth="1"/>
    <col min="14102" max="14102" width="2.85546875" style="140" customWidth="1"/>
    <col min="14103" max="14108" width="2.7109375" style="140" customWidth="1"/>
    <col min="14109" max="14109" width="3.42578125" style="140" customWidth="1"/>
    <col min="14110" max="14110" width="2.7109375" style="140" customWidth="1"/>
    <col min="14111" max="14115" width="3.5703125" style="140" customWidth="1"/>
    <col min="14116" max="14140" width="2.7109375" style="140" customWidth="1"/>
    <col min="14141" max="14141" width="1.5703125" style="140" customWidth="1"/>
    <col min="14142" max="14336" width="2.7109375" style="140"/>
    <col min="14337" max="14339" width="2.7109375" style="140" customWidth="1"/>
    <col min="14340" max="14340" width="3.7109375" style="140" customWidth="1"/>
    <col min="14341" max="14342" width="5" style="140" customWidth="1"/>
    <col min="14343" max="14343" width="5.5703125" style="140" customWidth="1"/>
    <col min="14344" max="14344" width="5.140625" style="140" customWidth="1"/>
    <col min="14345" max="14345" width="4.42578125" style="140" customWidth="1"/>
    <col min="14346" max="14346" width="2.7109375" style="140" customWidth="1"/>
    <col min="14347" max="14347" width="2.5703125" style="140" customWidth="1"/>
    <col min="14348" max="14349" width="2.7109375" style="140" customWidth="1"/>
    <col min="14350" max="14353" width="3" style="140" customWidth="1"/>
    <col min="14354" max="14357" width="2.7109375" style="140" customWidth="1"/>
    <col min="14358" max="14358" width="2.85546875" style="140" customWidth="1"/>
    <col min="14359" max="14364" width="2.7109375" style="140" customWidth="1"/>
    <col min="14365" max="14365" width="3.42578125" style="140" customWidth="1"/>
    <col min="14366" max="14366" width="2.7109375" style="140" customWidth="1"/>
    <col min="14367" max="14371" width="3.5703125" style="140" customWidth="1"/>
    <col min="14372" max="14396" width="2.7109375" style="140" customWidth="1"/>
    <col min="14397" max="14397" width="1.5703125" style="140" customWidth="1"/>
    <col min="14398" max="14592" width="2.7109375" style="140"/>
    <col min="14593" max="14595" width="2.7109375" style="140" customWidth="1"/>
    <col min="14596" max="14596" width="3.7109375" style="140" customWidth="1"/>
    <col min="14597" max="14598" width="5" style="140" customWidth="1"/>
    <col min="14599" max="14599" width="5.5703125" style="140" customWidth="1"/>
    <col min="14600" max="14600" width="5.140625" style="140" customWidth="1"/>
    <col min="14601" max="14601" width="4.42578125" style="140" customWidth="1"/>
    <col min="14602" max="14602" width="2.7109375" style="140" customWidth="1"/>
    <col min="14603" max="14603" width="2.5703125" style="140" customWidth="1"/>
    <col min="14604" max="14605" width="2.7109375" style="140" customWidth="1"/>
    <col min="14606" max="14609" width="3" style="140" customWidth="1"/>
    <col min="14610" max="14613" width="2.7109375" style="140" customWidth="1"/>
    <col min="14614" max="14614" width="2.85546875" style="140" customWidth="1"/>
    <col min="14615" max="14620" width="2.7109375" style="140" customWidth="1"/>
    <col min="14621" max="14621" width="3.42578125" style="140" customWidth="1"/>
    <col min="14622" max="14622" width="2.7109375" style="140" customWidth="1"/>
    <col min="14623" max="14627" width="3.5703125" style="140" customWidth="1"/>
    <col min="14628" max="14652" width="2.7109375" style="140" customWidth="1"/>
    <col min="14653" max="14653" width="1.5703125" style="140" customWidth="1"/>
    <col min="14654" max="14848" width="2.7109375" style="140"/>
    <col min="14849" max="14851" width="2.7109375" style="140" customWidth="1"/>
    <col min="14852" max="14852" width="3.7109375" style="140" customWidth="1"/>
    <col min="14853" max="14854" width="5" style="140" customWidth="1"/>
    <col min="14855" max="14855" width="5.5703125" style="140" customWidth="1"/>
    <col min="14856" max="14856" width="5.140625" style="140" customWidth="1"/>
    <col min="14857" max="14857" width="4.42578125" style="140" customWidth="1"/>
    <col min="14858" max="14858" width="2.7109375" style="140" customWidth="1"/>
    <col min="14859" max="14859" width="2.5703125" style="140" customWidth="1"/>
    <col min="14860" max="14861" width="2.7109375" style="140" customWidth="1"/>
    <col min="14862" max="14865" width="3" style="140" customWidth="1"/>
    <col min="14866" max="14869" width="2.7109375" style="140" customWidth="1"/>
    <col min="14870" max="14870" width="2.85546875" style="140" customWidth="1"/>
    <col min="14871" max="14876" width="2.7109375" style="140" customWidth="1"/>
    <col min="14877" max="14877" width="3.42578125" style="140" customWidth="1"/>
    <col min="14878" max="14878" width="2.7109375" style="140" customWidth="1"/>
    <col min="14879" max="14883" width="3.5703125" style="140" customWidth="1"/>
    <col min="14884" max="14908" width="2.7109375" style="140" customWidth="1"/>
    <col min="14909" max="14909" width="1.5703125" style="140" customWidth="1"/>
    <col min="14910" max="15104" width="2.7109375" style="140"/>
    <col min="15105" max="15107" width="2.7109375" style="140" customWidth="1"/>
    <col min="15108" max="15108" width="3.7109375" style="140" customWidth="1"/>
    <col min="15109" max="15110" width="5" style="140" customWidth="1"/>
    <col min="15111" max="15111" width="5.5703125" style="140" customWidth="1"/>
    <col min="15112" max="15112" width="5.140625" style="140" customWidth="1"/>
    <col min="15113" max="15113" width="4.42578125" style="140" customWidth="1"/>
    <col min="15114" max="15114" width="2.7109375" style="140" customWidth="1"/>
    <col min="15115" max="15115" width="2.5703125" style="140" customWidth="1"/>
    <col min="15116" max="15117" width="2.7109375" style="140" customWidth="1"/>
    <col min="15118" max="15121" width="3" style="140" customWidth="1"/>
    <col min="15122" max="15125" width="2.7109375" style="140" customWidth="1"/>
    <col min="15126" max="15126" width="2.85546875" style="140" customWidth="1"/>
    <col min="15127" max="15132" width="2.7109375" style="140" customWidth="1"/>
    <col min="15133" max="15133" width="3.42578125" style="140" customWidth="1"/>
    <col min="15134" max="15134" width="2.7109375" style="140" customWidth="1"/>
    <col min="15135" max="15139" width="3.5703125" style="140" customWidth="1"/>
    <col min="15140" max="15164" width="2.7109375" style="140" customWidth="1"/>
    <col min="15165" max="15165" width="1.5703125" style="140" customWidth="1"/>
    <col min="15166" max="15360" width="2.7109375" style="140"/>
    <col min="15361" max="15363" width="2.7109375" style="140" customWidth="1"/>
    <col min="15364" max="15364" width="3.7109375" style="140" customWidth="1"/>
    <col min="15365" max="15366" width="5" style="140" customWidth="1"/>
    <col min="15367" max="15367" width="5.5703125" style="140" customWidth="1"/>
    <col min="15368" max="15368" width="5.140625" style="140" customWidth="1"/>
    <col min="15369" max="15369" width="4.42578125" style="140" customWidth="1"/>
    <col min="15370" max="15370" width="2.7109375" style="140" customWidth="1"/>
    <col min="15371" max="15371" width="2.5703125" style="140" customWidth="1"/>
    <col min="15372" max="15373" width="2.7109375" style="140" customWidth="1"/>
    <col min="15374" max="15377" width="3" style="140" customWidth="1"/>
    <col min="15378" max="15381" width="2.7109375" style="140" customWidth="1"/>
    <col min="15382" max="15382" width="2.85546875" style="140" customWidth="1"/>
    <col min="15383" max="15388" width="2.7109375" style="140" customWidth="1"/>
    <col min="15389" max="15389" width="3.42578125" style="140" customWidth="1"/>
    <col min="15390" max="15390" width="2.7109375" style="140" customWidth="1"/>
    <col min="15391" max="15395" width="3.5703125" style="140" customWidth="1"/>
    <col min="15396" max="15420" width="2.7109375" style="140" customWidth="1"/>
    <col min="15421" max="15421" width="1.5703125" style="140" customWidth="1"/>
    <col min="15422" max="15616" width="2.7109375" style="140"/>
    <col min="15617" max="15619" width="2.7109375" style="140" customWidth="1"/>
    <col min="15620" max="15620" width="3.7109375" style="140" customWidth="1"/>
    <col min="15621" max="15622" width="5" style="140" customWidth="1"/>
    <col min="15623" max="15623" width="5.5703125" style="140" customWidth="1"/>
    <col min="15624" max="15624" width="5.140625" style="140" customWidth="1"/>
    <col min="15625" max="15625" width="4.42578125" style="140" customWidth="1"/>
    <col min="15626" max="15626" width="2.7109375" style="140" customWidth="1"/>
    <col min="15627" max="15627" width="2.5703125" style="140" customWidth="1"/>
    <col min="15628" max="15629" width="2.7109375" style="140" customWidth="1"/>
    <col min="15630" max="15633" width="3" style="140" customWidth="1"/>
    <col min="15634" max="15637" width="2.7109375" style="140" customWidth="1"/>
    <col min="15638" max="15638" width="2.85546875" style="140" customWidth="1"/>
    <col min="15639" max="15644" width="2.7109375" style="140" customWidth="1"/>
    <col min="15645" max="15645" width="3.42578125" style="140" customWidth="1"/>
    <col min="15646" max="15646" width="2.7109375" style="140" customWidth="1"/>
    <col min="15647" max="15651" width="3.5703125" style="140" customWidth="1"/>
    <col min="15652" max="15676" width="2.7109375" style="140" customWidth="1"/>
    <col min="15677" max="15677" width="1.5703125" style="140" customWidth="1"/>
    <col min="15678" max="15872" width="2.7109375" style="140"/>
    <col min="15873" max="15875" width="2.7109375" style="140" customWidth="1"/>
    <col min="15876" max="15876" width="3.7109375" style="140" customWidth="1"/>
    <col min="15877" max="15878" width="5" style="140" customWidth="1"/>
    <col min="15879" max="15879" width="5.5703125" style="140" customWidth="1"/>
    <col min="15880" max="15880" width="5.140625" style="140" customWidth="1"/>
    <col min="15881" max="15881" width="4.42578125" style="140" customWidth="1"/>
    <col min="15882" max="15882" width="2.7109375" style="140" customWidth="1"/>
    <col min="15883" max="15883" width="2.5703125" style="140" customWidth="1"/>
    <col min="15884" max="15885" width="2.7109375" style="140" customWidth="1"/>
    <col min="15886" max="15889" width="3" style="140" customWidth="1"/>
    <col min="15890" max="15893" width="2.7109375" style="140" customWidth="1"/>
    <col min="15894" max="15894" width="2.85546875" style="140" customWidth="1"/>
    <col min="15895" max="15900" width="2.7109375" style="140" customWidth="1"/>
    <col min="15901" max="15901" width="3.42578125" style="140" customWidth="1"/>
    <col min="15902" max="15902" width="2.7109375" style="140" customWidth="1"/>
    <col min="15903" max="15907" width="3.5703125" style="140" customWidth="1"/>
    <col min="15908" max="15932" width="2.7109375" style="140" customWidth="1"/>
    <col min="15933" max="15933" width="1.5703125" style="140" customWidth="1"/>
    <col min="15934" max="16128" width="2.7109375" style="140"/>
    <col min="16129" max="16131" width="2.7109375" style="140" customWidth="1"/>
    <col min="16132" max="16132" width="3.7109375" style="140" customWidth="1"/>
    <col min="16133" max="16134" width="5" style="140" customWidth="1"/>
    <col min="16135" max="16135" width="5.5703125" style="140" customWidth="1"/>
    <col min="16136" max="16136" width="5.140625" style="140" customWidth="1"/>
    <col min="16137" max="16137" width="4.42578125" style="140" customWidth="1"/>
    <col min="16138" max="16138" width="2.7109375" style="140" customWidth="1"/>
    <col min="16139" max="16139" width="2.5703125" style="140" customWidth="1"/>
    <col min="16140" max="16141" width="2.7109375" style="140" customWidth="1"/>
    <col min="16142" max="16145" width="3" style="140" customWidth="1"/>
    <col min="16146" max="16149" width="2.7109375" style="140" customWidth="1"/>
    <col min="16150" max="16150" width="2.85546875" style="140" customWidth="1"/>
    <col min="16151" max="16156" width="2.7109375" style="140" customWidth="1"/>
    <col min="16157" max="16157" width="3.42578125" style="140" customWidth="1"/>
    <col min="16158" max="16158" width="2.7109375" style="140" customWidth="1"/>
    <col min="16159" max="16163" width="3.5703125" style="140" customWidth="1"/>
    <col min="16164" max="16188" width="2.7109375" style="140" customWidth="1"/>
    <col min="16189" max="16189" width="1.5703125" style="140" customWidth="1"/>
    <col min="16190" max="16384" width="2.7109375" style="140"/>
  </cols>
  <sheetData>
    <row r="1" spans="1:53" ht="14.1" customHeight="1">
      <c r="A1" s="1577"/>
      <c r="B1" s="1578"/>
      <c r="C1" s="1578"/>
      <c r="D1" s="1578"/>
      <c r="E1" s="1578"/>
      <c r="F1" s="1579"/>
      <c r="G1" s="1556" t="s">
        <v>109</v>
      </c>
      <c r="H1" s="1556"/>
      <c r="I1" s="1556"/>
      <c r="J1" s="1556"/>
      <c r="K1" s="1556"/>
      <c r="L1" s="1556"/>
      <c r="M1" s="1556"/>
      <c r="N1" s="1556"/>
      <c r="O1" s="1556"/>
      <c r="P1" s="1556"/>
      <c r="Q1" s="1556"/>
      <c r="R1" s="1556"/>
      <c r="S1" s="1556"/>
      <c r="T1" s="1556"/>
      <c r="U1" s="1556"/>
      <c r="V1" s="1556"/>
      <c r="W1" s="1556"/>
      <c r="X1" s="1556"/>
      <c r="Y1" s="1556"/>
      <c r="Z1" s="1556"/>
      <c r="AA1" s="1556"/>
      <c r="AB1" s="1556"/>
      <c r="AC1" s="1556"/>
      <c r="AD1" s="1556"/>
      <c r="AE1" s="1556"/>
      <c r="AF1" s="1556"/>
      <c r="AG1" s="1556"/>
      <c r="AH1" s="1556"/>
      <c r="AI1" s="1557"/>
    </row>
    <row r="2" spans="1:53" ht="23.25" customHeight="1">
      <c r="A2" s="1580"/>
      <c r="B2" s="1581"/>
      <c r="C2" s="1581"/>
      <c r="D2" s="1581"/>
      <c r="E2" s="1581"/>
      <c r="F2" s="1582"/>
      <c r="G2" s="1558" t="s">
        <v>471</v>
      </c>
      <c r="H2" s="1558"/>
      <c r="I2" s="1558"/>
      <c r="J2" s="1558"/>
      <c r="K2" s="1558"/>
      <c r="L2" s="1558"/>
      <c r="M2" s="1558"/>
      <c r="N2" s="1558"/>
      <c r="O2" s="1558"/>
      <c r="P2" s="1558"/>
      <c r="Q2" s="1558"/>
      <c r="R2" s="1558"/>
      <c r="S2" s="1558"/>
      <c r="T2" s="1558"/>
      <c r="U2" s="1558"/>
      <c r="V2" s="1558"/>
      <c r="W2" s="1558"/>
      <c r="X2" s="1558"/>
      <c r="Y2" s="1558"/>
      <c r="Z2" s="1558"/>
      <c r="AA2" s="1558"/>
      <c r="AB2" s="1558"/>
      <c r="AC2" s="1558"/>
      <c r="AD2" s="1558"/>
      <c r="AE2" s="1558"/>
      <c r="AF2" s="1558"/>
      <c r="AG2" s="1558"/>
      <c r="AH2" s="1558"/>
      <c r="AI2" s="1559"/>
    </row>
    <row r="3" spans="1:53" ht="14.1" customHeight="1">
      <c r="A3" s="1580"/>
      <c r="B3" s="1581"/>
      <c r="C3" s="1581"/>
      <c r="D3" s="1581"/>
      <c r="E3" s="1581"/>
      <c r="F3" s="1582"/>
      <c r="G3" s="1558" t="s">
        <v>434</v>
      </c>
      <c r="H3" s="1558"/>
      <c r="I3" s="1558"/>
      <c r="J3" s="1558"/>
      <c r="K3" s="1558"/>
      <c r="L3" s="1558"/>
      <c r="M3" s="1558"/>
      <c r="N3" s="1558"/>
      <c r="O3" s="1558"/>
      <c r="P3" s="1558"/>
      <c r="Q3" s="1558"/>
      <c r="R3" s="1558"/>
      <c r="S3" s="1558"/>
      <c r="T3" s="1558"/>
      <c r="U3" s="1558"/>
      <c r="V3" s="1558"/>
      <c r="W3" s="1558"/>
      <c r="X3" s="1558"/>
      <c r="Y3" s="1558"/>
      <c r="Z3" s="1558"/>
      <c r="AA3" s="1558"/>
      <c r="AB3" s="1558"/>
      <c r="AC3" s="1558"/>
      <c r="AD3" s="1558"/>
      <c r="AE3" s="1558"/>
      <c r="AF3" s="1558"/>
      <c r="AG3" s="1558"/>
      <c r="AH3" s="1558"/>
      <c r="AI3" s="1559"/>
    </row>
    <row r="4" spans="1:53" ht="12.95" customHeight="1">
      <c r="A4" s="1580"/>
      <c r="B4" s="1581"/>
      <c r="C4" s="1581"/>
      <c r="D4" s="1581"/>
      <c r="E4" s="1581"/>
      <c r="F4" s="1582"/>
      <c r="G4" s="1560" t="s">
        <v>110</v>
      </c>
      <c r="H4" s="1561"/>
      <c r="I4" s="1561"/>
      <c r="J4" s="1561"/>
      <c r="K4" s="1561"/>
      <c r="L4" s="1561"/>
      <c r="M4" s="1561"/>
      <c r="N4" s="1561"/>
      <c r="O4" s="1561"/>
      <c r="P4" s="1561"/>
      <c r="Q4" s="1561"/>
      <c r="R4" s="1561"/>
      <c r="S4" s="1561"/>
      <c r="T4" s="1561"/>
      <c r="U4" s="1561"/>
      <c r="V4" s="1561" t="s">
        <v>424</v>
      </c>
      <c r="W4" s="1561"/>
      <c r="X4" s="1561"/>
      <c r="Y4" s="1561"/>
      <c r="Z4" s="1561"/>
      <c r="AA4" s="1561"/>
      <c r="AB4" s="1561"/>
      <c r="AC4" s="1561"/>
      <c r="AD4" s="1561"/>
      <c r="AE4" s="1561"/>
      <c r="AF4" s="1561"/>
      <c r="AG4" s="1561"/>
      <c r="AH4" s="1561"/>
      <c r="AI4" s="1562"/>
    </row>
    <row r="5" spans="1:53" ht="12.95" customHeight="1">
      <c r="A5" s="1583"/>
      <c r="B5" s="1584"/>
      <c r="C5" s="1584"/>
      <c r="D5" s="1584"/>
      <c r="E5" s="1584"/>
      <c r="F5" s="1585"/>
      <c r="G5" s="1563" t="s">
        <v>466</v>
      </c>
      <c r="H5" s="1564"/>
      <c r="I5" s="1564"/>
      <c r="J5" s="1564"/>
      <c r="K5" s="1564"/>
      <c r="L5" s="1564"/>
      <c r="M5" s="1564"/>
      <c r="N5" s="1564"/>
      <c r="O5" s="1564"/>
      <c r="P5" s="1564"/>
      <c r="Q5" s="1564"/>
      <c r="R5" s="1564"/>
      <c r="S5" s="1564"/>
      <c r="T5" s="1564"/>
      <c r="U5" s="1564"/>
      <c r="V5" s="1564"/>
      <c r="W5" s="1564"/>
      <c r="X5" s="1564"/>
      <c r="Y5" s="1564"/>
      <c r="Z5" s="1564"/>
      <c r="AA5" s="1564"/>
      <c r="AB5" s="1564"/>
      <c r="AC5" s="1564"/>
      <c r="AD5" s="1564"/>
      <c r="AE5" s="1564"/>
      <c r="AF5" s="1564"/>
      <c r="AG5" s="1564"/>
      <c r="AH5" s="1564"/>
      <c r="AI5" s="1565"/>
    </row>
    <row r="6" spans="1:53" ht="15.95" customHeight="1">
      <c r="A6" s="1602" t="s">
        <v>5</v>
      </c>
      <c r="B6" s="1603"/>
      <c r="C6" s="1603"/>
      <c r="D6" s="1603"/>
      <c r="E6" s="1601" t="e">
        <f>IF(#REF!="","",+#REF!)</f>
        <v>#REF!</v>
      </c>
      <c r="F6" s="1601"/>
      <c r="G6" s="1601"/>
      <c r="H6" s="1601"/>
      <c r="I6" s="1601"/>
      <c r="J6" s="1601"/>
      <c r="K6" s="1601"/>
      <c r="L6" s="1601"/>
      <c r="M6" s="1601"/>
      <c r="N6" s="1601"/>
      <c r="O6" s="1601"/>
      <c r="P6" s="1601"/>
      <c r="Q6" s="1601"/>
      <c r="R6" s="1601"/>
      <c r="S6" s="1601"/>
      <c r="T6" s="1601"/>
      <c r="U6" s="1601"/>
      <c r="V6" s="1590" t="s">
        <v>229</v>
      </c>
      <c r="W6" s="1590"/>
      <c r="X6" s="1590"/>
      <c r="Y6" s="1590"/>
      <c r="Z6" s="1590"/>
      <c r="AA6" s="1590"/>
      <c r="AB6" s="1590"/>
      <c r="AC6" s="1590"/>
      <c r="AD6" s="1586"/>
      <c r="AE6" s="1586"/>
      <c r="AF6" s="1586"/>
      <c r="AG6" s="1586"/>
      <c r="AH6" s="1586"/>
      <c r="AI6" s="1587"/>
    </row>
    <row r="7" spans="1:53" s="141" customFormat="1" ht="15.95" customHeight="1">
      <c r="A7" s="1591" t="s">
        <v>16</v>
      </c>
      <c r="B7" s="1592"/>
      <c r="C7" s="1592"/>
      <c r="D7" s="1592"/>
      <c r="E7" s="1604" t="e">
        <f>IF(#REF!="","",+#REF!)</f>
        <v>#REF!</v>
      </c>
      <c r="F7" s="1604"/>
      <c r="G7" s="1604"/>
      <c r="H7" s="1604"/>
      <c r="I7" s="1607" t="s">
        <v>17</v>
      </c>
      <c r="J7" s="1607"/>
      <c r="K7" s="1607"/>
      <c r="L7" s="1607"/>
      <c r="M7" s="1604" t="e">
        <f>IF(#REF!="","",#REF!)</f>
        <v>#REF!</v>
      </c>
      <c r="N7" s="1604"/>
      <c r="O7" s="1604"/>
      <c r="P7" s="1604"/>
      <c r="Q7" s="1604"/>
      <c r="R7" s="1604"/>
      <c r="S7" s="1604"/>
      <c r="T7" s="1604"/>
      <c r="U7" s="1604"/>
      <c r="V7" s="1605" t="s">
        <v>31</v>
      </c>
      <c r="W7" s="1605"/>
      <c r="X7" s="1605"/>
      <c r="Y7" s="1605"/>
      <c r="Z7" s="1605"/>
      <c r="AA7" s="1605"/>
      <c r="AB7" s="1605"/>
      <c r="AC7" s="1605"/>
      <c r="AD7" s="1588" t="e">
        <f>IF(#REF!="","",+#REF!)</f>
        <v>#REF!</v>
      </c>
      <c r="AE7" s="1588"/>
      <c r="AF7" s="1588"/>
      <c r="AG7" s="1588"/>
      <c r="AH7" s="1588"/>
      <c r="AI7" s="1589"/>
    </row>
    <row r="8" spans="1:53" s="141" customFormat="1" ht="15.95" customHeight="1">
      <c r="A8" s="1591" t="s">
        <v>323</v>
      </c>
      <c r="B8" s="1592"/>
      <c r="C8" s="1592"/>
      <c r="D8" s="1592"/>
      <c r="E8" s="1604" t="e">
        <f>IF(#REF!="","",+#REF!)</f>
        <v>#REF!</v>
      </c>
      <c r="F8" s="1604"/>
      <c r="G8" s="1604"/>
      <c r="H8" s="1604"/>
      <c r="I8" s="1612" t="s">
        <v>18</v>
      </c>
      <c r="J8" s="1612"/>
      <c r="K8" s="1612"/>
      <c r="L8" s="1612"/>
      <c r="M8" s="1604" t="e">
        <f>IF(#REF!="","",#REF!)</f>
        <v>#REF!</v>
      </c>
      <c r="N8" s="1604"/>
      <c r="O8" s="1604"/>
      <c r="P8" s="1604"/>
      <c r="Q8" s="1604"/>
      <c r="R8" s="1604"/>
      <c r="S8" s="1604"/>
      <c r="T8" s="1604"/>
      <c r="U8" s="1604"/>
      <c r="V8" s="1605" t="s">
        <v>266</v>
      </c>
      <c r="W8" s="1605"/>
      <c r="X8" s="1605"/>
      <c r="Y8" s="1605"/>
      <c r="Z8" s="1605"/>
      <c r="AA8" s="1605"/>
      <c r="AB8" s="1605"/>
      <c r="AC8" s="1605"/>
      <c r="AD8" s="1608" t="e">
        <f>IF(#REF!="","",+#REF!)</f>
        <v>#REF!</v>
      </c>
      <c r="AE8" s="1608"/>
      <c r="AF8" s="1608"/>
      <c r="AG8" s="1608"/>
      <c r="AH8" s="1608"/>
      <c r="AI8" s="1609"/>
      <c r="AJ8" s="142"/>
      <c r="AK8" s="142"/>
      <c r="AL8" s="142"/>
      <c r="AM8" s="142"/>
      <c r="AN8" s="142"/>
      <c r="AO8" s="142"/>
      <c r="AP8" s="142"/>
      <c r="AQ8" s="142"/>
      <c r="AR8" s="142"/>
      <c r="AS8" s="142"/>
      <c r="AT8" s="142"/>
      <c r="AU8" s="142"/>
      <c r="AV8" s="142"/>
      <c r="AW8" s="142"/>
      <c r="AX8" s="142"/>
      <c r="AY8" s="142"/>
      <c r="AZ8" s="142"/>
      <c r="BA8" s="143"/>
    </row>
    <row r="9" spans="1:53" s="141" customFormat="1" ht="15.95" customHeight="1">
      <c r="A9" s="1593" t="s">
        <v>6</v>
      </c>
      <c r="B9" s="1594"/>
      <c r="C9" s="1594"/>
      <c r="D9" s="1594"/>
      <c r="E9" s="1595" t="e">
        <f>IF(#REF!="","",+#REF!)</f>
        <v>#REF!</v>
      </c>
      <c r="F9" s="1595"/>
      <c r="G9" s="1595"/>
      <c r="H9" s="1595"/>
      <c r="I9" s="1595"/>
      <c r="J9" s="1595"/>
      <c r="K9" s="1595"/>
      <c r="L9" s="1595"/>
      <c r="M9" s="1595"/>
      <c r="N9" s="1595"/>
      <c r="O9" s="1595"/>
      <c r="P9" s="1595"/>
      <c r="Q9" s="1595"/>
      <c r="R9" s="1595"/>
      <c r="S9" s="1595"/>
      <c r="T9" s="1595"/>
      <c r="U9" s="1595"/>
      <c r="V9" s="1606" t="s">
        <v>462</v>
      </c>
      <c r="W9" s="1606"/>
      <c r="X9" s="1606"/>
      <c r="Y9" s="1606"/>
      <c r="Z9" s="1606"/>
      <c r="AA9" s="1606"/>
      <c r="AB9" s="1606"/>
      <c r="AC9" s="1606"/>
      <c r="AD9" s="1588" t="e">
        <f>IF(#REF!="","",+#REF!)</f>
        <v>#REF!</v>
      </c>
      <c r="AE9" s="1588"/>
      <c r="AF9" s="1588"/>
      <c r="AG9" s="1588"/>
      <c r="AH9" s="1588"/>
      <c r="AI9" s="1589"/>
    </row>
    <row r="10" spans="1:53" s="141" customFormat="1" ht="15" customHeight="1">
      <c r="A10" s="1709" t="s">
        <v>435</v>
      </c>
      <c r="B10" s="1710"/>
      <c r="C10" s="1710"/>
      <c r="D10" s="1710"/>
      <c r="E10" s="1710"/>
      <c r="F10" s="1710"/>
      <c r="G10" s="1710"/>
      <c r="H10" s="1710"/>
      <c r="I10" s="1710"/>
      <c r="J10" s="1710"/>
      <c r="K10" s="1710"/>
      <c r="L10" s="1710"/>
      <c r="M10" s="1710"/>
      <c r="N10" s="1710"/>
      <c r="O10" s="1710"/>
      <c r="P10" s="1710"/>
      <c r="Q10" s="1710"/>
      <c r="R10" s="1710"/>
      <c r="S10" s="1710"/>
      <c r="T10" s="1710"/>
      <c r="U10" s="1710"/>
      <c r="V10" s="1710"/>
      <c r="W10" s="1710"/>
      <c r="X10" s="1710"/>
      <c r="Y10" s="1710"/>
      <c r="Z10" s="1710"/>
      <c r="AA10" s="1710"/>
      <c r="AB10" s="1710"/>
      <c r="AC10" s="1710"/>
      <c r="AD10" s="1710"/>
      <c r="AE10" s="1710"/>
      <c r="AF10" s="1710"/>
      <c r="AG10" s="1710"/>
      <c r="AH10" s="1710"/>
      <c r="AI10" s="1711"/>
    </row>
    <row r="11" spans="1:53" ht="15" customHeight="1">
      <c r="A11" s="1576" t="s">
        <v>99</v>
      </c>
      <c r="B11" s="1568"/>
      <c r="C11" s="1568"/>
      <c r="D11" s="1568"/>
      <c r="E11" s="1568"/>
      <c r="F11" s="1568"/>
      <c r="G11" s="1568"/>
      <c r="H11" s="1568"/>
      <c r="I11" s="1568"/>
      <c r="J11" s="1568"/>
      <c r="K11" s="1568"/>
      <c r="L11" s="1568"/>
      <c r="M11" s="1568"/>
      <c r="N11" s="1568"/>
      <c r="O11" s="1568"/>
      <c r="P11" s="1568"/>
      <c r="Q11" s="1568"/>
      <c r="R11" s="1568"/>
      <c r="S11" s="1568"/>
      <c r="T11" s="1568"/>
      <c r="U11" s="1568"/>
      <c r="V11" s="1568"/>
      <c r="W11" s="1568"/>
      <c r="X11" s="1568"/>
      <c r="Y11" s="1568"/>
      <c r="Z11" s="1568"/>
      <c r="AA11" s="1568"/>
      <c r="AB11" s="1568"/>
      <c r="AC11" s="1568"/>
      <c r="AD11" s="1568"/>
      <c r="AE11" s="1568"/>
      <c r="AF11" s="1568"/>
      <c r="AG11" s="1568"/>
      <c r="AH11" s="1568"/>
      <c r="AI11" s="1569"/>
    </row>
    <row r="12" spans="1:53" ht="12.95" customHeight="1">
      <c r="A12" s="1535" t="s">
        <v>284</v>
      </c>
      <c r="B12" s="1536"/>
      <c r="C12" s="1536"/>
      <c r="D12" s="1536"/>
      <c r="E12" s="1539" t="s">
        <v>271</v>
      </c>
      <c r="F12" s="1540"/>
      <c r="G12" s="1540"/>
      <c r="H12" s="1540"/>
      <c r="I12" s="1539" t="s">
        <v>352</v>
      </c>
      <c r="J12" s="1540"/>
      <c r="K12" s="1540"/>
      <c r="L12" s="1540"/>
      <c r="M12" s="1540"/>
      <c r="N12" s="1540"/>
      <c r="O12" s="1540"/>
      <c r="P12" s="1540"/>
      <c r="Q12" s="1540"/>
      <c r="R12" s="1539" t="s">
        <v>353</v>
      </c>
      <c r="S12" s="1540"/>
      <c r="T12" s="1540"/>
      <c r="U12" s="1540"/>
      <c r="V12" s="1540"/>
      <c r="W12" s="1540"/>
      <c r="X12" s="1540"/>
      <c r="Y12" s="1540"/>
      <c r="Z12" s="1540"/>
      <c r="AA12" s="1540"/>
      <c r="AB12" s="1539" t="s">
        <v>272</v>
      </c>
      <c r="AC12" s="1540"/>
      <c r="AD12" s="1540"/>
      <c r="AE12" s="1540"/>
      <c r="AF12" s="1540"/>
      <c r="AG12" s="1540"/>
      <c r="AH12" s="1540"/>
      <c r="AI12" s="1570"/>
    </row>
    <row r="13" spans="1:53" ht="12.95" customHeight="1">
      <c r="A13" s="1537"/>
      <c r="B13" s="1538"/>
      <c r="C13" s="1538"/>
      <c r="D13" s="1538"/>
      <c r="E13" s="1571"/>
      <c r="F13" s="1572"/>
      <c r="G13" s="1572"/>
      <c r="H13" s="1572"/>
      <c r="I13" s="1532"/>
      <c r="J13" s="1533"/>
      <c r="K13" s="1533"/>
      <c r="L13" s="1533"/>
      <c r="M13" s="1533"/>
      <c r="N13" s="1533"/>
      <c r="O13" s="1533"/>
      <c r="P13" s="1533"/>
      <c r="Q13" s="1533"/>
      <c r="R13" s="1532"/>
      <c r="S13" s="1533"/>
      <c r="T13" s="1533"/>
      <c r="U13" s="1533"/>
      <c r="V13" s="1533"/>
      <c r="W13" s="1533"/>
      <c r="X13" s="1533"/>
      <c r="Y13" s="1533"/>
      <c r="Z13" s="1533"/>
      <c r="AA13" s="1533"/>
      <c r="AB13" s="1532"/>
      <c r="AC13" s="1533"/>
      <c r="AD13" s="1533"/>
      <c r="AE13" s="1533"/>
      <c r="AF13" s="1533"/>
      <c r="AG13" s="1533"/>
      <c r="AH13" s="1533"/>
      <c r="AI13" s="1534"/>
    </row>
    <row r="14" spans="1:53" ht="15" customHeight="1">
      <c r="A14" s="1610" t="s">
        <v>274</v>
      </c>
      <c r="B14" s="1611"/>
      <c r="C14" s="1611"/>
      <c r="D14" s="1611"/>
      <c r="E14" s="1611"/>
      <c r="F14" s="1611"/>
      <c r="G14" s="1611"/>
      <c r="H14" s="561" t="s">
        <v>86</v>
      </c>
      <c r="I14" s="1573" t="str">
        <f>+IF(I13="","",(I13/(I13+AB13))*100)</f>
        <v/>
      </c>
      <c r="J14" s="1574"/>
      <c r="K14" s="1574"/>
      <c r="L14" s="1574"/>
      <c r="M14" s="1574"/>
      <c r="N14" s="1574"/>
      <c r="O14" s="1574"/>
      <c r="P14" s="1574"/>
      <c r="Q14" s="1574"/>
      <c r="R14" s="1573" t="str">
        <f>+IF(R13="","",(R13/(R13+AB13))*100)</f>
        <v/>
      </c>
      <c r="S14" s="1574"/>
      <c r="T14" s="1574"/>
      <c r="U14" s="1574"/>
      <c r="V14" s="1574"/>
      <c r="W14" s="1574"/>
      <c r="X14" s="1574"/>
      <c r="Y14" s="1574"/>
      <c r="Z14" s="1574"/>
      <c r="AA14" s="1575"/>
      <c r="AB14" s="1543"/>
      <c r="AC14" s="1544"/>
      <c r="AD14" s="1544"/>
      <c r="AE14" s="1544"/>
      <c r="AF14" s="1544"/>
      <c r="AG14" s="1544"/>
      <c r="AH14" s="1544"/>
      <c r="AI14" s="1545"/>
      <c r="AJ14" s="145"/>
    </row>
    <row r="15" spans="1:53" ht="15" customHeight="1">
      <c r="A15" s="1566" t="s">
        <v>329</v>
      </c>
      <c r="B15" s="1567"/>
      <c r="C15" s="1567"/>
      <c r="D15" s="1567"/>
      <c r="E15" s="1567"/>
      <c r="F15" s="1567"/>
      <c r="G15" s="1567"/>
      <c r="H15" s="1567"/>
      <c r="I15" s="1568"/>
      <c r="J15" s="1568"/>
      <c r="K15" s="1568"/>
      <c r="L15" s="1568"/>
      <c r="M15" s="1568"/>
      <c r="N15" s="1568"/>
      <c r="O15" s="1568"/>
      <c r="P15" s="1568"/>
      <c r="Q15" s="1568"/>
      <c r="R15" s="1568"/>
      <c r="S15" s="1568"/>
      <c r="T15" s="1568"/>
      <c r="U15" s="1568"/>
      <c r="V15" s="1568"/>
      <c r="W15" s="1568"/>
      <c r="X15" s="1568"/>
      <c r="Y15" s="1568"/>
      <c r="Z15" s="1568"/>
      <c r="AA15" s="1568"/>
      <c r="AB15" s="1568"/>
      <c r="AC15" s="1568"/>
      <c r="AD15" s="1568"/>
      <c r="AE15" s="1568"/>
      <c r="AF15" s="1568"/>
      <c r="AG15" s="1568"/>
      <c r="AH15" s="1568"/>
      <c r="AI15" s="1569"/>
      <c r="AJ15" s="146"/>
    </row>
    <row r="16" spans="1:53" ht="12.95" customHeight="1">
      <c r="A16" s="1535" t="s">
        <v>284</v>
      </c>
      <c r="B16" s="1536"/>
      <c r="C16" s="1536"/>
      <c r="D16" s="1536"/>
      <c r="E16" s="1539" t="s">
        <v>271</v>
      </c>
      <c r="F16" s="1540"/>
      <c r="G16" s="1540"/>
      <c r="H16" s="1540"/>
      <c r="I16" s="1539" t="s">
        <v>352</v>
      </c>
      <c r="J16" s="1540"/>
      <c r="K16" s="1540"/>
      <c r="L16" s="1540"/>
      <c r="M16" s="1540"/>
      <c r="N16" s="1540"/>
      <c r="O16" s="1540"/>
      <c r="P16" s="1540"/>
      <c r="Q16" s="1540"/>
      <c r="R16" s="1539" t="s">
        <v>354</v>
      </c>
      <c r="S16" s="1540"/>
      <c r="T16" s="1540"/>
      <c r="U16" s="1540"/>
      <c r="V16" s="1540"/>
      <c r="W16" s="1540"/>
      <c r="X16" s="1540"/>
      <c r="Y16" s="1540"/>
      <c r="Z16" s="1540"/>
      <c r="AA16" s="1540"/>
      <c r="AB16" s="1539" t="s">
        <v>272</v>
      </c>
      <c r="AC16" s="1540"/>
      <c r="AD16" s="1540"/>
      <c r="AE16" s="1540"/>
      <c r="AF16" s="1540"/>
      <c r="AG16" s="1540"/>
      <c r="AH16" s="1540"/>
      <c r="AI16" s="1570"/>
      <c r="AJ16" s="146"/>
      <c r="AM16" s="147"/>
    </row>
    <row r="17" spans="1:83" ht="12.95" customHeight="1">
      <c r="A17" s="1537"/>
      <c r="B17" s="1538"/>
      <c r="C17" s="1538"/>
      <c r="D17" s="1538"/>
      <c r="E17" s="1571"/>
      <c r="F17" s="1572"/>
      <c r="G17" s="1572"/>
      <c r="H17" s="1572"/>
      <c r="I17" s="1532"/>
      <c r="J17" s="1533"/>
      <c r="K17" s="1533"/>
      <c r="L17" s="1533"/>
      <c r="M17" s="1533"/>
      <c r="N17" s="1533"/>
      <c r="O17" s="1533"/>
      <c r="P17" s="1533"/>
      <c r="Q17" s="1533"/>
      <c r="R17" s="1532"/>
      <c r="S17" s="1533"/>
      <c r="T17" s="1533"/>
      <c r="U17" s="1533"/>
      <c r="V17" s="1533"/>
      <c r="W17" s="1533"/>
      <c r="X17" s="1533"/>
      <c r="Y17" s="1533"/>
      <c r="Z17" s="1533"/>
      <c r="AA17" s="1533"/>
      <c r="AB17" s="1532"/>
      <c r="AC17" s="1533"/>
      <c r="AD17" s="1533"/>
      <c r="AE17" s="1533"/>
      <c r="AF17" s="1533"/>
      <c r="AG17" s="1533"/>
      <c r="AH17" s="1533"/>
      <c r="AI17" s="1534"/>
      <c r="AJ17" s="146"/>
    </row>
    <row r="18" spans="1:83" ht="15" customHeight="1">
      <c r="A18" s="1610" t="s">
        <v>273</v>
      </c>
      <c r="B18" s="1611"/>
      <c r="C18" s="1611"/>
      <c r="D18" s="1611"/>
      <c r="E18" s="1611"/>
      <c r="F18" s="1611"/>
      <c r="G18" s="1611"/>
      <c r="H18" s="144" t="s">
        <v>86</v>
      </c>
      <c r="I18" s="1541" t="str">
        <f>+IF(I17="","",(I17/(I17+AB17))*100)</f>
        <v/>
      </c>
      <c r="J18" s="1542"/>
      <c r="K18" s="1542"/>
      <c r="L18" s="1542"/>
      <c r="M18" s="1542"/>
      <c r="N18" s="1542"/>
      <c r="O18" s="1542"/>
      <c r="P18" s="1542"/>
      <c r="Q18" s="1542"/>
      <c r="R18" s="1541" t="str">
        <f>+IF(R17="","",(R17/(R17+AB17))*100)</f>
        <v/>
      </c>
      <c r="S18" s="1542"/>
      <c r="T18" s="1542"/>
      <c r="U18" s="1542"/>
      <c r="V18" s="1542"/>
      <c r="W18" s="1542"/>
      <c r="X18" s="1542"/>
      <c r="Y18" s="1542"/>
      <c r="Z18" s="1542"/>
      <c r="AA18" s="1542"/>
      <c r="AB18" s="1543"/>
      <c r="AC18" s="1544"/>
      <c r="AD18" s="1544"/>
      <c r="AE18" s="1544"/>
      <c r="AF18" s="1544"/>
      <c r="AG18" s="1544"/>
      <c r="AH18" s="1544"/>
      <c r="AI18" s="1545"/>
    </row>
    <row r="19" spans="1:83" ht="12.95" customHeight="1">
      <c r="A19" s="1596" t="s">
        <v>111</v>
      </c>
      <c r="B19" s="1540"/>
      <c r="C19" s="1540"/>
      <c r="D19" s="1540"/>
      <c r="E19" s="1540"/>
      <c r="F19" s="1540"/>
      <c r="G19" s="1540"/>
      <c r="H19" s="1597"/>
      <c r="I19" s="1721" t="s">
        <v>285</v>
      </c>
      <c r="J19" s="1722"/>
      <c r="K19" s="1722"/>
      <c r="L19" s="1722"/>
      <c r="M19" s="1722"/>
      <c r="N19" s="1722"/>
      <c r="O19" s="1722"/>
      <c r="P19" s="1722"/>
      <c r="Q19" s="1723"/>
      <c r="R19" s="1715" t="s">
        <v>286</v>
      </c>
      <c r="S19" s="1716"/>
      <c r="T19" s="1716"/>
      <c r="U19" s="1716"/>
      <c r="V19" s="1716"/>
      <c r="W19" s="1716"/>
      <c r="X19" s="1716"/>
      <c r="Y19" s="1716"/>
      <c r="Z19" s="1716"/>
      <c r="AA19" s="1717"/>
      <c r="AB19" s="1539" t="s">
        <v>32</v>
      </c>
      <c r="AC19" s="1540"/>
      <c r="AD19" s="1540"/>
      <c r="AE19" s="1540"/>
      <c r="AF19" s="1540"/>
      <c r="AG19" s="1540"/>
      <c r="AH19" s="1540"/>
      <c r="AI19" s="1570"/>
    </row>
    <row r="20" spans="1:83" ht="12.95" customHeight="1">
      <c r="A20" s="1598" t="s">
        <v>275</v>
      </c>
      <c r="B20" s="1599"/>
      <c r="C20" s="1599"/>
      <c r="D20" s="1599"/>
      <c r="E20" s="1599"/>
      <c r="F20" s="1599"/>
      <c r="G20" s="1599"/>
      <c r="H20" s="1600"/>
      <c r="I20" s="1718" t="str">
        <f>+IF(I14="","",IF(I18="","",AVERAGE(I18,I14)))</f>
        <v/>
      </c>
      <c r="J20" s="1719"/>
      <c r="K20" s="1719"/>
      <c r="L20" s="1719"/>
      <c r="M20" s="1719"/>
      <c r="N20" s="1719"/>
      <c r="O20" s="1719"/>
      <c r="P20" s="1719"/>
      <c r="Q20" s="1720"/>
      <c r="R20" s="1718" t="str">
        <f>+IF(R14="","",IF(R18="","",AVERAGE(R18,R14)))</f>
        <v/>
      </c>
      <c r="S20" s="1719"/>
      <c r="T20" s="1719"/>
      <c r="U20" s="1719"/>
      <c r="V20" s="1719"/>
      <c r="W20" s="1719"/>
      <c r="X20" s="1719"/>
      <c r="Y20" s="1719"/>
      <c r="Z20" s="1719"/>
      <c r="AA20" s="1720"/>
      <c r="AB20" s="1712"/>
      <c r="AC20" s="1713"/>
      <c r="AD20" s="1713"/>
      <c r="AE20" s="1713"/>
      <c r="AF20" s="1713"/>
      <c r="AG20" s="1713"/>
      <c r="AH20" s="1713"/>
      <c r="AI20" s="1714"/>
      <c r="AJ20" s="1652"/>
      <c r="AK20" s="1652"/>
      <c r="AL20" s="1652"/>
      <c r="AM20" s="1652"/>
      <c r="AN20" s="1652"/>
      <c r="AO20" s="1652"/>
      <c r="AP20" s="1652"/>
      <c r="BO20" s="1706"/>
      <c r="BP20" s="1707"/>
      <c r="BQ20" s="1707"/>
      <c r="BR20" s="1707"/>
      <c r="BS20" s="1707"/>
      <c r="BT20" s="1707"/>
      <c r="BU20" s="1707"/>
      <c r="BV20" s="1707"/>
      <c r="BW20" s="1707"/>
      <c r="BX20" s="1707"/>
      <c r="BY20" s="1707"/>
      <c r="BZ20" s="1707"/>
      <c r="CA20" s="1707"/>
      <c r="CB20" s="1707"/>
      <c r="CC20" s="1707"/>
      <c r="CD20" s="1707"/>
      <c r="CE20" s="1708"/>
    </row>
    <row r="21" spans="1:83" ht="15" customHeight="1">
      <c r="A21" s="1727" t="s">
        <v>326</v>
      </c>
      <c r="B21" s="1728"/>
      <c r="C21" s="1728"/>
      <c r="D21" s="1728"/>
      <c r="E21" s="1728"/>
      <c r="F21" s="1728"/>
      <c r="G21" s="1728"/>
      <c r="H21" s="1728"/>
      <c r="I21" s="1728"/>
      <c r="J21" s="1728"/>
      <c r="K21" s="1728"/>
      <c r="L21" s="1728"/>
      <c r="M21" s="1728"/>
      <c r="N21" s="1728"/>
      <c r="O21" s="1728"/>
      <c r="P21" s="1728"/>
      <c r="Q21" s="1729"/>
      <c r="R21" s="1660"/>
      <c r="S21" s="1661"/>
      <c r="T21" s="1661"/>
      <c r="U21" s="1661"/>
      <c r="V21" s="1661"/>
      <c r="W21" s="1661"/>
      <c r="X21" s="1661"/>
      <c r="Y21" s="1661"/>
      <c r="Z21" s="1661"/>
      <c r="AA21" s="1661"/>
      <c r="AB21" s="1661"/>
      <c r="AC21" s="1661"/>
      <c r="AD21" s="1661"/>
      <c r="AE21" s="1661"/>
      <c r="AF21" s="1661"/>
      <c r="AG21" s="1661"/>
      <c r="AH21" s="1661"/>
      <c r="AI21" s="1662"/>
      <c r="AJ21" s="148"/>
      <c r="AK21" s="148"/>
      <c r="AL21" s="148"/>
      <c r="AM21" s="148"/>
      <c r="AN21" s="148"/>
      <c r="AO21" s="148"/>
      <c r="AP21" s="148"/>
      <c r="AR21" s="1657" t="s">
        <v>324</v>
      </c>
      <c r="AS21" s="1658"/>
      <c r="AT21" s="1658"/>
      <c r="AU21" s="1658"/>
      <c r="AV21" s="1658"/>
      <c r="AW21" s="1658"/>
      <c r="AX21" s="1658"/>
      <c r="AY21" s="1658"/>
      <c r="AZ21" s="1658"/>
      <c r="BA21" s="1658"/>
      <c r="BB21" s="1658"/>
      <c r="BC21" s="1658"/>
      <c r="BD21" s="1658"/>
      <c r="BE21" s="1658"/>
      <c r="BF21" s="1658"/>
      <c r="BG21" s="1658"/>
      <c r="BH21" s="1659"/>
    </row>
    <row r="22" spans="1:83" ht="15.75" customHeight="1">
      <c r="A22" s="1730" t="s">
        <v>327</v>
      </c>
      <c r="B22" s="1731"/>
      <c r="C22" s="1731"/>
      <c r="D22" s="1731"/>
      <c r="E22" s="1731"/>
      <c r="F22" s="1731"/>
      <c r="G22" s="1731"/>
      <c r="H22" s="1731"/>
      <c r="I22" s="1731"/>
      <c r="J22" s="1731"/>
      <c r="K22" s="1731"/>
      <c r="L22" s="1731"/>
      <c r="M22" s="1731"/>
      <c r="N22" s="1731"/>
      <c r="O22" s="1731"/>
      <c r="P22" s="1731"/>
      <c r="Q22" s="1732"/>
      <c r="R22" s="1724"/>
      <c r="S22" s="1725"/>
      <c r="T22" s="1725"/>
      <c r="U22" s="1725"/>
      <c r="V22" s="1725"/>
      <c r="W22" s="1725"/>
      <c r="X22" s="1725"/>
      <c r="Y22" s="1725"/>
      <c r="Z22" s="1725"/>
      <c r="AA22" s="1725"/>
      <c r="AB22" s="1725"/>
      <c r="AC22" s="1725"/>
      <c r="AD22" s="1725"/>
      <c r="AE22" s="1725"/>
      <c r="AF22" s="1725"/>
      <c r="AG22" s="1725"/>
      <c r="AH22" s="1725"/>
      <c r="AI22" s="1726"/>
      <c r="AR22" s="149" t="s">
        <v>112</v>
      </c>
      <c r="AS22" s="150"/>
      <c r="AT22" s="150"/>
      <c r="AU22" s="150"/>
      <c r="AV22" s="150"/>
      <c r="AW22" s="150"/>
      <c r="AX22" s="150"/>
    </row>
    <row r="23" spans="1:83" ht="15.95" customHeight="1">
      <c r="A23" s="1733" t="s">
        <v>436</v>
      </c>
      <c r="B23" s="1734"/>
      <c r="C23" s="1734"/>
      <c r="D23" s="1734"/>
      <c r="E23" s="1734"/>
      <c r="F23" s="1734"/>
      <c r="G23" s="1734"/>
      <c r="H23" s="1734"/>
      <c r="I23" s="1734"/>
      <c r="J23" s="1734"/>
      <c r="K23" s="1734"/>
      <c r="L23" s="1734"/>
      <c r="M23" s="1734"/>
      <c r="N23" s="1734"/>
      <c r="O23" s="1734"/>
      <c r="P23" s="1734"/>
      <c r="Q23" s="1734"/>
      <c r="R23" s="1734"/>
      <c r="S23" s="1734"/>
      <c r="T23" s="1734"/>
      <c r="U23" s="1734"/>
      <c r="V23" s="1734"/>
      <c r="W23" s="1734"/>
      <c r="X23" s="1734"/>
      <c r="Y23" s="1734"/>
      <c r="Z23" s="1734"/>
      <c r="AA23" s="1734"/>
      <c r="AB23" s="1734"/>
      <c r="AC23" s="1734"/>
      <c r="AD23" s="1734"/>
      <c r="AE23" s="1734"/>
      <c r="AF23" s="1734"/>
      <c r="AG23" s="1734"/>
      <c r="AH23" s="1734"/>
      <c r="AI23" s="1735"/>
      <c r="AJ23" s="1673"/>
      <c r="AK23" s="1673"/>
      <c r="AL23" s="1673"/>
      <c r="AM23" s="1673"/>
      <c r="AN23" s="1673"/>
      <c r="AR23" s="149" t="s">
        <v>113</v>
      </c>
      <c r="AS23" s="150"/>
      <c r="AT23" s="150"/>
      <c r="AU23" s="150"/>
    </row>
    <row r="24" spans="1:83" ht="15" customHeight="1">
      <c r="A24" s="1741" t="s">
        <v>372</v>
      </c>
      <c r="B24" s="1694"/>
      <c r="C24" s="1694"/>
      <c r="D24" s="1694"/>
      <c r="E24" s="1694"/>
      <c r="F24" s="1694"/>
      <c r="G24" s="1694"/>
      <c r="H24" s="151"/>
      <c r="I24" s="32" t="s">
        <v>82</v>
      </c>
      <c r="J24" s="1547" t="e">
        <f>+#REF!</f>
        <v>#REF!</v>
      </c>
      <c r="K24" s="1547"/>
      <c r="L24" s="1547"/>
      <c r="M24" s="1547"/>
      <c r="N24" s="154"/>
      <c r="O24" s="1694" t="s">
        <v>116</v>
      </c>
      <c r="P24" s="1694"/>
      <c r="Q24" s="1694"/>
      <c r="R24" s="1694"/>
      <c r="S24" s="1694"/>
      <c r="T24" s="1694"/>
      <c r="U24" s="1694"/>
      <c r="V24" s="1694"/>
      <c r="W24" s="1694"/>
      <c r="X24" s="1694"/>
      <c r="Y24" s="1694"/>
      <c r="Z24" s="1694"/>
      <c r="AA24" s="1694"/>
      <c r="AB24" s="1694"/>
      <c r="AC24" s="1694"/>
      <c r="AD24" s="1692" t="s">
        <v>82</v>
      </c>
      <c r="AE24" s="1692"/>
      <c r="AF24" s="1736" t="e">
        <f>+#REF!</f>
        <v>#REF!</v>
      </c>
      <c r="AG24" s="1737"/>
      <c r="AH24" s="1737"/>
      <c r="AI24" s="1738"/>
      <c r="AJ24" s="146"/>
    </row>
    <row r="25" spans="1:83" ht="15" customHeight="1">
      <c r="A25" s="1742" t="s">
        <v>373</v>
      </c>
      <c r="B25" s="1695"/>
      <c r="C25" s="1695"/>
      <c r="D25" s="1695"/>
      <c r="E25" s="1695"/>
      <c r="F25" s="1695"/>
      <c r="G25" s="1695"/>
      <c r="H25" s="1695"/>
      <c r="I25" s="34" t="s">
        <v>82</v>
      </c>
      <c r="J25" s="1693">
        <f>+H37</f>
        <v>0</v>
      </c>
      <c r="K25" s="1693"/>
      <c r="L25" s="1693"/>
      <c r="M25" s="1693"/>
      <c r="N25" s="154"/>
      <c r="O25" s="1695" t="s">
        <v>328</v>
      </c>
      <c r="P25" s="1695"/>
      <c r="Q25" s="1695"/>
      <c r="R25" s="1695"/>
      <c r="S25" s="1695"/>
      <c r="T25" s="1695"/>
      <c r="U25" s="1695"/>
      <c r="V25" s="1695"/>
      <c r="W25" s="1695"/>
      <c r="X25" s="1695"/>
      <c r="Y25" s="1695"/>
      <c r="Z25" s="1695"/>
      <c r="AA25" s="1695"/>
      <c r="AB25" s="1695"/>
      <c r="AC25" s="1695"/>
      <c r="AD25" s="1692" t="s">
        <v>82</v>
      </c>
      <c r="AE25" s="1692"/>
      <c r="AF25" s="1739" t="e">
        <f>+#REF!</f>
        <v>#REF!</v>
      </c>
      <c r="AG25" s="1739"/>
      <c r="AH25" s="1739"/>
      <c r="AI25" s="1740"/>
      <c r="AJ25" s="146"/>
    </row>
    <row r="26" spans="1:83" ht="15" customHeight="1">
      <c r="A26" s="1743"/>
      <c r="B26" s="1744"/>
      <c r="C26" s="1744"/>
      <c r="D26" s="1744"/>
      <c r="E26" s="1744"/>
      <c r="F26" s="1744"/>
      <c r="G26" s="1744"/>
      <c r="H26" s="1744"/>
      <c r="I26" s="599"/>
      <c r="J26" s="600"/>
      <c r="K26" s="600"/>
      <c r="L26" s="600"/>
      <c r="M26" s="600"/>
      <c r="N26" s="601"/>
      <c r="O26" s="1546" t="s">
        <v>117</v>
      </c>
      <c r="P26" s="1546"/>
      <c r="Q26" s="1546"/>
      <c r="R26" s="1546"/>
      <c r="S26" s="1546"/>
      <c r="T26" s="1546"/>
      <c r="U26" s="1546"/>
      <c r="V26" s="1546"/>
      <c r="W26" s="1546"/>
      <c r="X26" s="1546"/>
      <c r="Y26" s="1546"/>
      <c r="Z26" s="1546"/>
      <c r="AA26" s="1546"/>
      <c r="AB26" s="1546"/>
      <c r="AC26" s="1546"/>
      <c r="AD26" s="1692" t="s">
        <v>82</v>
      </c>
      <c r="AE26" s="1692"/>
      <c r="AF26" s="1653" t="e">
        <f>SUM(AF24:AI25)</f>
        <v>#REF!</v>
      </c>
      <c r="AG26" s="1653"/>
      <c r="AH26" s="1653"/>
      <c r="AI26" s="1654"/>
      <c r="AJ26" s="146"/>
    </row>
    <row r="27" spans="1:83" ht="12.95" customHeight="1">
      <c r="A27" s="1674" t="s">
        <v>267</v>
      </c>
      <c r="B27" s="1675"/>
      <c r="C27" s="1675"/>
      <c r="D27" s="1675"/>
      <c r="E27" s="1675"/>
      <c r="F27" s="1675"/>
      <c r="G27" s="1675"/>
      <c r="H27" s="1675"/>
      <c r="I27" s="1676"/>
      <c r="J27" s="1655" t="s">
        <v>100</v>
      </c>
      <c r="K27" s="1567"/>
      <c r="L27" s="1567"/>
      <c r="M27" s="1567"/>
      <c r="N27" s="1567"/>
      <c r="O27" s="1567"/>
      <c r="P27" s="1567"/>
      <c r="Q27" s="1567"/>
      <c r="R27" s="1567"/>
      <c r="S27" s="1567"/>
      <c r="T27" s="1567"/>
      <c r="U27" s="1567"/>
      <c r="V27" s="1567"/>
      <c r="W27" s="1655" t="s">
        <v>101</v>
      </c>
      <c r="X27" s="1567"/>
      <c r="Y27" s="1567"/>
      <c r="Z27" s="1567"/>
      <c r="AA27" s="1567"/>
      <c r="AB27" s="1567"/>
      <c r="AC27" s="1567"/>
      <c r="AD27" s="1567"/>
      <c r="AE27" s="1567"/>
      <c r="AF27" s="1567"/>
      <c r="AG27" s="1567"/>
      <c r="AH27" s="1567"/>
      <c r="AI27" s="1656"/>
    </row>
    <row r="28" spans="1:83" ht="20.25" customHeight="1">
      <c r="A28" s="1671" t="s">
        <v>268</v>
      </c>
      <c r="B28" s="1549"/>
      <c r="C28" s="1549"/>
      <c r="D28" s="1549"/>
      <c r="E28" s="1549" t="s">
        <v>270</v>
      </c>
      <c r="F28" s="1549"/>
      <c r="G28" s="1549" t="s">
        <v>269</v>
      </c>
      <c r="H28" s="1688" t="s">
        <v>260</v>
      </c>
      <c r="I28" s="1689"/>
      <c r="J28" s="1548" t="s">
        <v>261</v>
      </c>
      <c r="K28" s="1549"/>
      <c r="L28" s="1549"/>
      <c r="M28" s="1549"/>
      <c r="N28" s="1549"/>
      <c r="O28" s="1549"/>
      <c r="P28" s="1549" t="s">
        <v>243</v>
      </c>
      <c r="Q28" s="1549"/>
      <c r="R28" s="1549"/>
      <c r="S28" s="1549"/>
      <c r="T28" s="1549"/>
      <c r="U28" s="1549"/>
      <c r="V28" s="1549"/>
      <c r="W28" s="1548" t="s">
        <v>350</v>
      </c>
      <c r="X28" s="1549"/>
      <c r="Y28" s="1549"/>
      <c r="Z28" s="1549"/>
      <c r="AA28" s="1549"/>
      <c r="AB28" s="1549"/>
      <c r="AC28" s="1549" t="s">
        <v>244</v>
      </c>
      <c r="AD28" s="1549"/>
      <c r="AE28" s="1549"/>
      <c r="AF28" s="1549"/>
      <c r="AG28" s="1549"/>
      <c r="AH28" s="1549"/>
      <c r="AI28" s="1552"/>
      <c r="AT28" s="1706" t="s">
        <v>325</v>
      </c>
      <c r="AU28" s="1707"/>
      <c r="AV28" s="1707"/>
      <c r="AW28" s="1707"/>
      <c r="AX28" s="1707"/>
      <c r="AY28" s="1707"/>
      <c r="AZ28" s="1707"/>
      <c r="BA28" s="1707"/>
      <c r="BB28" s="1707"/>
      <c r="BC28" s="1707"/>
      <c r="BD28" s="1707"/>
      <c r="BE28" s="1707"/>
      <c r="BF28" s="1707"/>
      <c r="BG28" s="1707"/>
      <c r="BH28" s="1707"/>
      <c r="BI28" s="1707"/>
      <c r="BJ28" s="1708"/>
    </row>
    <row r="29" spans="1:83" ht="26.25" customHeight="1">
      <c r="A29" s="1672"/>
      <c r="B29" s="1551"/>
      <c r="C29" s="1551"/>
      <c r="D29" s="1551"/>
      <c r="E29" s="1551"/>
      <c r="F29" s="1551"/>
      <c r="G29" s="1551"/>
      <c r="H29" s="1690"/>
      <c r="I29" s="1691"/>
      <c r="J29" s="1550"/>
      <c r="K29" s="1551"/>
      <c r="L29" s="1551"/>
      <c r="M29" s="1551"/>
      <c r="N29" s="1551"/>
      <c r="O29" s="1551"/>
      <c r="P29" s="1551"/>
      <c r="Q29" s="1551"/>
      <c r="R29" s="1551"/>
      <c r="S29" s="1551"/>
      <c r="T29" s="1551"/>
      <c r="U29" s="1551"/>
      <c r="V29" s="1551"/>
      <c r="W29" s="1550"/>
      <c r="X29" s="1551"/>
      <c r="Y29" s="1551"/>
      <c r="Z29" s="1551"/>
      <c r="AA29" s="1551"/>
      <c r="AB29" s="1551"/>
      <c r="AC29" s="1551"/>
      <c r="AD29" s="1551"/>
      <c r="AE29" s="1551"/>
      <c r="AF29" s="1551"/>
      <c r="AG29" s="1551"/>
      <c r="AH29" s="1551"/>
      <c r="AI29" s="1553"/>
      <c r="AT29" s="149" t="s">
        <v>114</v>
      </c>
      <c r="AU29" s="150"/>
      <c r="AV29" s="150"/>
      <c r="AW29" s="150"/>
      <c r="AX29" s="150"/>
      <c r="AY29" s="150"/>
      <c r="AZ29" s="150"/>
    </row>
    <row r="30" spans="1:83" ht="14.1" customHeight="1">
      <c r="A30" s="1663" t="s">
        <v>102</v>
      </c>
      <c r="B30" s="1664"/>
      <c r="C30" s="1664"/>
      <c r="D30" s="1665"/>
      <c r="E30" s="1514" t="str">
        <f>IFERROR(AK30,"")</f>
        <v/>
      </c>
      <c r="F30" s="1515"/>
      <c r="G30" s="163" t="str">
        <f>+IFERROR(AM30,"")</f>
        <v/>
      </c>
      <c r="H30" s="1617" t="str">
        <f>IF(E30="","",IF(G30=0,0,IF(G30&lt;(0.05*100),$J$24-E30,0)))</f>
        <v/>
      </c>
      <c r="I30" s="1618"/>
      <c r="J30" s="1666"/>
      <c r="K30" s="1667"/>
      <c r="L30" s="1667"/>
      <c r="M30" s="1667"/>
      <c r="N30" s="1667"/>
      <c r="O30" s="1668"/>
      <c r="P30" s="1614" t="str">
        <f>+IF(J30="","",(J30*100/E30))</f>
        <v/>
      </c>
      <c r="Q30" s="1519"/>
      <c r="R30" s="1519"/>
      <c r="S30" s="1519"/>
      <c r="T30" s="1519"/>
      <c r="U30" s="1519"/>
      <c r="V30" s="1615"/>
      <c r="W30" s="1669"/>
      <c r="X30" s="1652"/>
      <c r="Y30" s="1652"/>
      <c r="Z30" s="1652"/>
      <c r="AA30" s="1652"/>
      <c r="AB30" s="1670"/>
      <c r="AC30" s="1614" t="str">
        <f>+IF(W30="","",(100*W30/E30))</f>
        <v/>
      </c>
      <c r="AD30" s="1519"/>
      <c r="AE30" s="1519"/>
      <c r="AF30" s="1519"/>
      <c r="AG30" s="1519"/>
      <c r="AH30" s="1519"/>
      <c r="AI30" s="1615"/>
      <c r="AJ30" s="711" t="s">
        <v>237</v>
      </c>
      <c r="AK30" s="1519" t="e">
        <f>IF(#REF!="","",VLOOKUP(AJ30,#REF!,5,0))</f>
        <v>#REF!</v>
      </c>
      <c r="AL30" s="1520"/>
      <c r="AM30" s="1519" t="e">
        <f>IF(#REF!="","",VLOOKUP(AJ30,#REF!,13,0))</f>
        <v>#REF!</v>
      </c>
      <c r="AN30" s="1520"/>
      <c r="AT30" s="152" t="s">
        <v>115</v>
      </c>
      <c r="AU30" s="153"/>
      <c r="AV30" s="153"/>
      <c r="AW30" s="153"/>
    </row>
    <row r="31" spans="1:83" ht="14.1" customHeight="1">
      <c r="A31" s="1529" t="s">
        <v>103</v>
      </c>
      <c r="B31" s="1530"/>
      <c r="C31" s="1530"/>
      <c r="D31" s="1531"/>
      <c r="E31" s="1516" t="str">
        <f t="shared" ref="E31:E36" si="0">IFERROR(AK31,"")</f>
        <v/>
      </c>
      <c r="F31" s="1516"/>
      <c r="G31" s="163" t="str">
        <f t="shared" ref="G31:G36" si="1">+IFERROR(AM31,"")</f>
        <v/>
      </c>
      <c r="H31" s="1617" t="str">
        <f t="shared" ref="H31:H36" si="2">IF(E31="","",IF(G31=0,0,IF(G31&lt;(0.05*100),$J$24-E31,0)))</f>
        <v/>
      </c>
      <c r="I31" s="1618"/>
      <c r="J31" s="1626"/>
      <c r="K31" s="1627"/>
      <c r="L31" s="1627"/>
      <c r="M31" s="1627"/>
      <c r="N31" s="1627"/>
      <c r="O31" s="1628"/>
      <c r="P31" s="1614" t="str">
        <f t="shared" ref="P31:P36" si="3">+IF(J31="","",(J31*100/E31))</f>
        <v/>
      </c>
      <c r="Q31" s="1519"/>
      <c r="R31" s="1519"/>
      <c r="S31" s="1519"/>
      <c r="T31" s="1519"/>
      <c r="U31" s="1519"/>
      <c r="V31" s="1615"/>
      <c r="W31" s="1629"/>
      <c r="X31" s="1630"/>
      <c r="Y31" s="1630"/>
      <c r="Z31" s="1630"/>
      <c r="AA31" s="1630"/>
      <c r="AB31" s="1631"/>
      <c r="AC31" s="1614" t="str">
        <f t="shared" ref="AC31:AC36" si="4">+IF(W31="","",(100*W31/E31))</f>
        <v/>
      </c>
      <c r="AD31" s="1519"/>
      <c r="AE31" s="1519"/>
      <c r="AF31" s="1519"/>
      <c r="AG31" s="1519"/>
      <c r="AH31" s="1519"/>
      <c r="AI31" s="1615"/>
      <c r="AJ31" s="711" t="s">
        <v>238</v>
      </c>
      <c r="AK31" s="1519" t="e">
        <f>IF(#REF!="","",VLOOKUP(AJ31,#REF!,5,0))</f>
        <v>#REF!</v>
      </c>
      <c r="AL31" s="1520"/>
      <c r="AM31" s="1519" t="e">
        <f>IF(#REF!="","",VLOOKUP(AJ31,#REF!,13,0))</f>
        <v>#REF!</v>
      </c>
      <c r="AN31" s="1520"/>
    </row>
    <row r="32" spans="1:83" ht="14.1" customHeight="1">
      <c r="A32" s="1529" t="s">
        <v>104</v>
      </c>
      <c r="B32" s="1530"/>
      <c r="C32" s="1530"/>
      <c r="D32" s="1531"/>
      <c r="E32" s="1516" t="str">
        <f t="shared" si="0"/>
        <v/>
      </c>
      <c r="F32" s="1516"/>
      <c r="G32" s="163" t="str">
        <f t="shared" si="1"/>
        <v/>
      </c>
      <c r="H32" s="1617" t="str">
        <f t="shared" si="2"/>
        <v/>
      </c>
      <c r="I32" s="1618"/>
      <c r="J32" s="1626"/>
      <c r="K32" s="1627"/>
      <c r="L32" s="1627"/>
      <c r="M32" s="1627"/>
      <c r="N32" s="1627"/>
      <c r="O32" s="1628"/>
      <c r="P32" s="1614" t="str">
        <f t="shared" si="3"/>
        <v/>
      </c>
      <c r="Q32" s="1519"/>
      <c r="R32" s="1519"/>
      <c r="S32" s="1519"/>
      <c r="T32" s="1519"/>
      <c r="U32" s="1519"/>
      <c r="V32" s="1615"/>
      <c r="W32" s="1629"/>
      <c r="X32" s="1630"/>
      <c r="Y32" s="1630"/>
      <c r="Z32" s="1630"/>
      <c r="AA32" s="1630"/>
      <c r="AB32" s="1631"/>
      <c r="AC32" s="1614" t="str">
        <f t="shared" si="4"/>
        <v/>
      </c>
      <c r="AD32" s="1519"/>
      <c r="AE32" s="1519"/>
      <c r="AF32" s="1519"/>
      <c r="AG32" s="1519"/>
      <c r="AH32" s="1519"/>
      <c r="AI32" s="1615"/>
      <c r="AJ32" s="711" t="s">
        <v>50</v>
      </c>
      <c r="AK32" s="1519" t="e">
        <f>IF(#REF!="","",VLOOKUP(AJ32,#REF!,5,0))</f>
        <v>#REF!</v>
      </c>
      <c r="AL32" s="1520"/>
      <c r="AM32" s="1519" t="e">
        <f>IF(#REF!="","",VLOOKUP(AJ32,#REF!,13,0))</f>
        <v>#REF!</v>
      </c>
      <c r="AN32" s="1520"/>
      <c r="AO32" s="154"/>
      <c r="AP32" s="154"/>
    </row>
    <row r="33" spans="1:52" ht="14.1" customHeight="1">
      <c r="A33" s="1529" t="s">
        <v>105</v>
      </c>
      <c r="B33" s="1530"/>
      <c r="C33" s="1530"/>
      <c r="D33" s="1530"/>
      <c r="E33" s="1516" t="str">
        <f t="shared" si="0"/>
        <v/>
      </c>
      <c r="F33" s="1516"/>
      <c r="G33" s="163" t="str">
        <f t="shared" si="1"/>
        <v/>
      </c>
      <c r="H33" s="1617" t="str">
        <f t="shared" si="2"/>
        <v/>
      </c>
      <c r="I33" s="1618"/>
      <c r="J33" s="1626"/>
      <c r="K33" s="1627"/>
      <c r="L33" s="1627"/>
      <c r="M33" s="1627"/>
      <c r="N33" s="1627"/>
      <c r="O33" s="1628"/>
      <c r="P33" s="1614" t="str">
        <f t="shared" si="3"/>
        <v/>
      </c>
      <c r="Q33" s="1519"/>
      <c r="R33" s="1519"/>
      <c r="S33" s="1519"/>
      <c r="T33" s="1519"/>
      <c r="U33" s="1519"/>
      <c r="V33" s="1615"/>
      <c r="W33" s="1629"/>
      <c r="X33" s="1630"/>
      <c r="Y33" s="1630"/>
      <c r="Z33" s="1630"/>
      <c r="AA33" s="1630"/>
      <c r="AB33" s="1631"/>
      <c r="AC33" s="1614" t="str">
        <f t="shared" si="4"/>
        <v/>
      </c>
      <c r="AD33" s="1519"/>
      <c r="AE33" s="1519"/>
      <c r="AF33" s="1519"/>
      <c r="AG33" s="1519"/>
      <c r="AH33" s="1519"/>
      <c r="AI33" s="1615"/>
      <c r="AJ33" s="711" t="s">
        <v>52</v>
      </c>
      <c r="AK33" s="1519" t="e">
        <f>IF(#REF!="","",VLOOKUP(AJ33,#REF!,5,0))</f>
        <v>#REF!</v>
      </c>
      <c r="AL33" s="1520"/>
      <c r="AM33" s="1519" t="e">
        <f>IF(#REF!="","",VLOOKUP(AJ33,#REF!,13,0))</f>
        <v>#REF!</v>
      </c>
      <c r="AN33" s="1520"/>
      <c r="AO33" s="154"/>
      <c r="AP33" s="154"/>
    </row>
    <row r="34" spans="1:52" ht="14.1" customHeight="1">
      <c r="A34" s="1529" t="s">
        <v>106</v>
      </c>
      <c r="B34" s="1530"/>
      <c r="C34" s="1530"/>
      <c r="D34" s="1531"/>
      <c r="E34" s="1516" t="str">
        <f t="shared" si="0"/>
        <v/>
      </c>
      <c r="F34" s="1516"/>
      <c r="G34" s="163" t="str">
        <f t="shared" si="1"/>
        <v/>
      </c>
      <c r="H34" s="1617" t="str">
        <f t="shared" si="2"/>
        <v/>
      </c>
      <c r="I34" s="1618"/>
      <c r="J34" s="1626"/>
      <c r="K34" s="1627"/>
      <c r="L34" s="1627"/>
      <c r="M34" s="1627"/>
      <c r="N34" s="1627"/>
      <c r="O34" s="1628"/>
      <c r="P34" s="1614" t="str">
        <f t="shared" si="3"/>
        <v/>
      </c>
      <c r="Q34" s="1519"/>
      <c r="R34" s="1519"/>
      <c r="S34" s="1519"/>
      <c r="T34" s="1519"/>
      <c r="U34" s="1519"/>
      <c r="V34" s="1615"/>
      <c r="W34" s="1629"/>
      <c r="X34" s="1630"/>
      <c r="Y34" s="1630"/>
      <c r="Z34" s="1630"/>
      <c r="AA34" s="1630"/>
      <c r="AB34" s="1631"/>
      <c r="AC34" s="1614" t="str">
        <f t="shared" si="4"/>
        <v/>
      </c>
      <c r="AD34" s="1519"/>
      <c r="AE34" s="1519"/>
      <c r="AF34" s="1519"/>
      <c r="AG34" s="1519"/>
      <c r="AH34" s="1519"/>
      <c r="AI34" s="1615"/>
      <c r="AJ34" s="711" t="s">
        <v>53</v>
      </c>
      <c r="AK34" s="1519" t="e">
        <f>IF(#REF!="","",VLOOKUP(AJ34,#REF!,5,0))</f>
        <v>#REF!</v>
      </c>
      <c r="AL34" s="1520"/>
      <c r="AM34" s="1519" t="e">
        <f>IF(#REF!="","",VLOOKUP(AJ34,#REF!,13,0))</f>
        <v>#REF!</v>
      </c>
      <c r="AN34" s="1520"/>
      <c r="AO34" s="154"/>
      <c r="AP34" s="154"/>
    </row>
    <row r="35" spans="1:52" ht="14.1" customHeight="1">
      <c r="A35" s="1529" t="s">
        <v>107</v>
      </c>
      <c r="B35" s="1530"/>
      <c r="C35" s="1530"/>
      <c r="D35" s="1531"/>
      <c r="E35" s="1516" t="str">
        <f t="shared" si="0"/>
        <v/>
      </c>
      <c r="F35" s="1516"/>
      <c r="G35" s="163" t="str">
        <f t="shared" si="1"/>
        <v/>
      </c>
      <c r="H35" s="1617" t="str">
        <f t="shared" si="2"/>
        <v/>
      </c>
      <c r="I35" s="1618"/>
      <c r="J35" s="1626"/>
      <c r="K35" s="1627"/>
      <c r="L35" s="1627"/>
      <c r="M35" s="1627"/>
      <c r="N35" s="1627"/>
      <c r="O35" s="1628"/>
      <c r="P35" s="1614" t="str">
        <f t="shared" si="3"/>
        <v/>
      </c>
      <c r="Q35" s="1519"/>
      <c r="R35" s="1519"/>
      <c r="S35" s="1519"/>
      <c r="T35" s="1519"/>
      <c r="U35" s="1519"/>
      <c r="V35" s="1615"/>
      <c r="W35" s="1629"/>
      <c r="X35" s="1630"/>
      <c r="Y35" s="1630"/>
      <c r="Z35" s="1630"/>
      <c r="AA35" s="1630"/>
      <c r="AB35" s="1631"/>
      <c r="AC35" s="1614" t="str">
        <f t="shared" si="4"/>
        <v/>
      </c>
      <c r="AD35" s="1519"/>
      <c r="AE35" s="1519"/>
      <c r="AF35" s="1519"/>
      <c r="AG35" s="1519"/>
      <c r="AH35" s="1519"/>
      <c r="AI35" s="1615"/>
      <c r="AJ35" s="711" t="s">
        <v>56</v>
      </c>
      <c r="AK35" s="1519" t="e">
        <f>IF(#REF!="","",VLOOKUP(AJ35,#REF!,5,0))</f>
        <v>#REF!</v>
      </c>
      <c r="AL35" s="1520"/>
      <c r="AM35" s="1519" t="e">
        <f>IF(#REF!="","",VLOOKUP(AJ35,#REF!,13,0))</f>
        <v>#REF!</v>
      </c>
      <c r="AN35" s="1520"/>
      <c r="AO35" s="154"/>
      <c r="AP35" s="154"/>
    </row>
    <row r="36" spans="1:52" ht="14.1" customHeight="1">
      <c r="A36" s="1529" t="s">
        <v>108</v>
      </c>
      <c r="B36" s="1530"/>
      <c r="C36" s="1530"/>
      <c r="D36" s="1531"/>
      <c r="E36" s="1517" t="str">
        <f t="shared" si="0"/>
        <v/>
      </c>
      <c r="F36" s="1518"/>
      <c r="G36" s="163" t="str">
        <f t="shared" si="1"/>
        <v/>
      </c>
      <c r="H36" s="1617" t="str">
        <f t="shared" si="2"/>
        <v/>
      </c>
      <c r="I36" s="1618"/>
      <c r="J36" s="1619"/>
      <c r="K36" s="1620"/>
      <c r="L36" s="1620"/>
      <c r="M36" s="1620"/>
      <c r="N36" s="1620"/>
      <c r="O36" s="1621"/>
      <c r="P36" s="1614" t="str">
        <f t="shared" si="3"/>
        <v/>
      </c>
      <c r="Q36" s="1519"/>
      <c r="R36" s="1519"/>
      <c r="S36" s="1519"/>
      <c r="T36" s="1519"/>
      <c r="U36" s="1519"/>
      <c r="V36" s="1615"/>
      <c r="W36" s="1622"/>
      <c r="X36" s="1623"/>
      <c r="Y36" s="1623"/>
      <c r="Z36" s="1623"/>
      <c r="AA36" s="1623"/>
      <c r="AB36" s="1624"/>
      <c r="AC36" s="1614" t="str">
        <f t="shared" si="4"/>
        <v/>
      </c>
      <c r="AD36" s="1519"/>
      <c r="AE36" s="1519"/>
      <c r="AF36" s="1519"/>
      <c r="AG36" s="1519"/>
      <c r="AH36" s="1519"/>
      <c r="AI36" s="1615"/>
      <c r="AJ36" s="711" t="s">
        <v>351</v>
      </c>
      <c r="AK36" s="1519" t="e">
        <f>IF(#REF!="","",VLOOKUP(AJ36,#REF!,5,0))</f>
        <v>#REF!</v>
      </c>
      <c r="AL36" s="1520"/>
      <c r="AM36" s="1519" t="e">
        <f>IF(#REF!="","",VLOOKUP(AJ36,#REF!,13,0))</f>
        <v>#REF!</v>
      </c>
      <c r="AN36" s="1520"/>
      <c r="AO36" s="154"/>
      <c r="AP36" s="154"/>
    </row>
    <row r="37" spans="1:52" ht="14.1" customHeight="1">
      <c r="A37" s="1680" t="s">
        <v>91</v>
      </c>
      <c r="B37" s="1681"/>
      <c r="C37" s="1681"/>
      <c r="D37" s="1682"/>
      <c r="E37" s="1683">
        <f>SUM(E30:F36)</f>
        <v>0</v>
      </c>
      <c r="F37" s="1684"/>
      <c r="G37" s="31">
        <f>SUM(G30:G36)</f>
        <v>0</v>
      </c>
      <c r="H37" s="1554">
        <f>SUM(H30:I36)</f>
        <v>0</v>
      </c>
      <c r="I37" s="1555"/>
      <c r="J37" s="1698" t="str">
        <f>IF(AND(J30="",J31="",J32="",J33="",J34="",J35="",J36=""),"",SUM(J30:O36))</f>
        <v/>
      </c>
      <c r="K37" s="1554"/>
      <c r="L37" s="1554"/>
      <c r="M37" s="1554"/>
      <c r="N37" s="1554"/>
      <c r="O37" s="1699"/>
      <c r="P37" s="1632"/>
      <c r="Q37" s="1632"/>
      <c r="R37" s="1632"/>
      <c r="S37" s="1632"/>
      <c r="T37" s="1632"/>
      <c r="U37" s="1632"/>
      <c r="V37" s="1632"/>
      <c r="W37" s="1698" t="str">
        <f>IF(AND(W30="",W31="",W32="",W33="",W34="",W35="",W36=""),"",SUM(W30:AB36))</f>
        <v/>
      </c>
      <c r="X37" s="1554"/>
      <c r="Y37" s="1554"/>
      <c r="Z37" s="1554"/>
      <c r="AA37" s="1554"/>
      <c r="AB37" s="1699"/>
      <c r="AC37" s="1632"/>
      <c r="AD37" s="1632"/>
      <c r="AE37" s="1632"/>
      <c r="AF37" s="1632"/>
      <c r="AG37" s="1632"/>
      <c r="AH37" s="1632"/>
      <c r="AI37" s="1633"/>
    </row>
    <row r="38" spans="1:52" ht="15" customHeight="1">
      <c r="A38" s="1700" t="s">
        <v>245</v>
      </c>
      <c r="B38" s="1701"/>
      <c r="C38" s="1701"/>
      <c r="D38" s="1701"/>
      <c r="E38" s="1701"/>
      <c r="F38" s="1701"/>
      <c r="G38" s="1701"/>
      <c r="H38" s="1701"/>
      <c r="I38" s="1701"/>
      <c r="J38" s="1650" t="str">
        <f>IF(OR(E37="",J37=""),"",J37*100/E37)</f>
        <v/>
      </c>
      <c r="K38" s="1650"/>
      <c r="L38" s="1650"/>
      <c r="M38" s="1702"/>
      <c r="N38" s="1703" t="s">
        <v>246</v>
      </c>
      <c r="O38" s="1701"/>
      <c r="P38" s="1701"/>
      <c r="Q38" s="1701"/>
      <c r="R38" s="1701"/>
      <c r="S38" s="1701"/>
      <c r="T38" s="1701"/>
      <c r="U38" s="1701"/>
      <c r="V38" s="1701"/>
      <c r="W38" s="1701"/>
      <c r="X38" s="1701"/>
      <c r="Y38" s="1701"/>
      <c r="Z38" s="1701"/>
      <c r="AA38" s="1701"/>
      <c r="AB38" s="1701"/>
      <c r="AC38" s="1701"/>
      <c r="AD38" s="1701"/>
      <c r="AE38" s="1650" t="str">
        <f>+IF(OR(W37="",E37=""),"",(IF(E37="","",(W37*100/E37))))</f>
        <v/>
      </c>
      <c r="AF38" s="1650"/>
      <c r="AG38" s="1650"/>
      <c r="AH38" s="1650"/>
      <c r="AI38" s="1651"/>
      <c r="AJ38" s="2" t="e">
        <f>(+J37/E37)*100</f>
        <v>#VALUE!</v>
      </c>
      <c r="AK38" s="154"/>
      <c r="AL38" s="154"/>
      <c r="AM38" s="154"/>
      <c r="AN38" s="154"/>
      <c r="AO38" s="154"/>
      <c r="AP38" s="154"/>
      <c r="AQ38" s="154"/>
      <c r="AR38" s="154"/>
      <c r="AS38" s="154"/>
      <c r="AT38" s="154"/>
      <c r="AU38" s="154"/>
    </row>
    <row r="39" spans="1:52" ht="12.95" customHeight="1">
      <c r="A39" s="1696" t="s">
        <v>19</v>
      </c>
      <c r="B39" s="1697"/>
      <c r="C39" s="1697"/>
      <c r="D39" s="1697"/>
      <c r="E39" s="1697"/>
      <c r="F39" s="1704"/>
      <c r="G39" s="1704"/>
      <c r="H39" s="1704"/>
      <c r="I39" s="1704"/>
      <c r="J39" s="1704"/>
      <c r="K39" s="1704"/>
      <c r="L39" s="1704"/>
      <c r="M39" s="1704"/>
      <c r="N39" s="1704"/>
      <c r="O39" s="1704"/>
      <c r="P39" s="1704"/>
      <c r="Q39" s="1704"/>
      <c r="R39" s="1704"/>
      <c r="S39" s="1704"/>
      <c r="T39" s="1704"/>
      <c r="U39" s="1704"/>
      <c r="V39" s="1704"/>
      <c r="W39" s="1704"/>
      <c r="X39" s="1704"/>
      <c r="Y39" s="1704"/>
      <c r="Z39" s="1704"/>
      <c r="AA39" s="1704"/>
      <c r="AB39" s="1704"/>
      <c r="AC39" s="1704"/>
      <c r="AD39" s="1704"/>
      <c r="AE39" s="1704"/>
      <c r="AF39" s="1704"/>
      <c r="AG39" s="1704"/>
      <c r="AH39" s="1704"/>
      <c r="AI39" s="1705"/>
      <c r="AJ39" s="155"/>
      <c r="AK39" s="154"/>
      <c r="AL39" s="154"/>
      <c r="AM39" s="154"/>
      <c r="AN39" s="154"/>
      <c r="AO39" s="154"/>
      <c r="AP39" s="154"/>
      <c r="AQ39" s="154"/>
      <c r="AR39" s="154"/>
      <c r="AS39" s="154"/>
      <c r="AT39" s="154"/>
      <c r="AU39" s="154"/>
    </row>
    <row r="40" spans="1:52" ht="30" customHeight="1">
      <c r="A40" s="1521"/>
      <c r="B40" s="1522"/>
      <c r="C40" s="1522"/>
      <c r="D40" s="1522"/>
      <c r="E40" s="1522"/>
      <c r="F40" s="1522"/>
      <c r="G40" s="1522"/>
      <c r="H40" s="1522"/>
      <c r="I40" s="1522"/>
      <c r="J40" s="1522"/>
      <c r="K40" s="1522"/>
      <c r="L40" s="1522"/>
      <c r="M40" s="1522"/>
      <c r="N40" s="1522"/>
      <c r="O40" s="1522"/>
      <c r="P40" s="1522"/>
      <c r="Q40" s="1522"/>
      <c r="R40" s="1522"/>
      <c r="S40" s="1522"/>
      <c r="T40" s="1522"/>
      <c r="U40" s="1522"/>
      <c r="V40" s="1522"/>
      <c r="W40" s="1522"/>
      <c r="X40" s="1522"/>
      <c r="Y40" s="1522"/>
      <c r="Z40" s="1522"/>
      <c r="AA40" s="1522"/>
      <c r="AB40" s="1522"/>
      <c r="AC40" s="1522"/>
      <c r="AD40" s="1522"/>
      <c r="AE40" s="1522"/>
      <c r="AF40" s="1522"/>
      <c r="AG40" s="1522"/>
      <c r="AH40" s="1522"/>
      <c r="AI40" s="1523"/>
      <c r="AJ40" s="155"/>
      <c r="AK40" s="154"/>
      <c r="AL40" s="154"/>
      <c r="AM40" s="154"/>
      <c r="AN40" s="154"/>
      <c r="AO40" s="154"/>
      <c r="AP40" s="154"/>
      <c r="AQ40" s="154"/>
      <c r="AR40" s="154"/>
      <c r="AS40" s="154"/>
      <c r="AT40" s="154"/>
      <c r="AU40" s="154"/>
    </row>
    <row r="41" spans="1:52" ht="36.75" customHeight="1">
      <c r="A41" s="1641"/>
      <c r="B41" s="1642"/>
      <c r="C41" s="1642"/>
      <c r="D41" s="1642"/>
      <c r="E41" s="1642"/>
      <c r="F41" s="1643"/>
      <c r="G41" s="1685" t="s">
        <v>283</v>
      </c>
      <c r="H41" s="1686"/>
      <c r="I41" s="1686"/>
      <c r="J41" s="1686"/>
      <c r="K41" s="1686"/>
      <c r="L41" s="1687"/>
      <c r="M41" s="1524" t="s">
        <v>10</v>
      </c>
      <c r="N41" s="917"/>
      <c r="O41" s="917"/>
      <c r="P41" s="917"/>
      <c r="Q41" s="917"/>
      <c r="R41" s="917"/>
      <c r="S41" s="917"/>
      <c r="T41" s="917"/>
      <c r="U41" s="917"/>
      <c r="V41" s="917"/>
      <c r="W41" s="917"/>
      <c r="X41" s="1525"/>
      <c r="Y41" s="1524" t="s">
        <v>11</v>
      </c>
      <c r="Z41" s="917"/>
      <c r="AA41" s="917"/>
      <c r="AB41" s="917"/>
      <c r="AC41" s="917"/>
      <c r="AD41" s="917"/>
      <c r="AE41" s="917"/>
      <c r="AF41" s="917"/>
      <c r="AG41" s="917"/>
      <c r="AH41" s="917"/>
      <c r="AI41" s="1525"/>
      <c r="AJ41" s="155"/>
      <c r="AK41" s="154"/>
      <c r="AL41" s="154"/>
      <c r="AM41" s="154"/>
      <c r="AN41" s="154"/>
      <c r="AO41" s="154"/>
      <c r="AP41" s="154"/>
      <c r="AQ41" s="154"/>
      <c r="AR41" s="154"/>
      <c r="AS41" s="154"/>
      <c r="AT41" s="154"/>
      <c r="AU41" s="154"/>
    </row>
    <row r="42" spans="1:52" ht="38.1" customHeight="1">
      <c r="A42" s="1641" t="s">
        <v>12</v>
      </c>
      <c r="B42" s="1642"/>
      <c r="C42" s="1642"/>
      <c r="D42" s="1642"/>
      <c r="E42" s="1642"/>
      <c r="F42" s="1643"/>
      <c r="G42" s="1647"/>
      <c r="H42" s="1648"/>
      <c r="I42" s="1648"/>
      <c r="J42" s="1648"/>
      <c r="K42" s="1648"/>
      <c r="L42" s="1649"/>
      <c r="M42" s="1526"/>
      <c r="N42" s="1527"/>
      <c r="O42" s="1527"/>
      <c r="P42" s="1527"/>
      <c r="Q42" s="1527"/>
      <c r="R42" s="1527"/>
      <c r="S42" s="1527"/>
      <c r="T42" s="1527"/>
      <c r="U42" s="1527"/>
      <c r="V42" s="1527"/>
      <c r="W42" s="1527"/>
      <c r="X42" s="1528"/>
      <c r="Y42" s="1526"/>
      <c r="Z42" s="1527"/>
      <c r="AA42" s="1527"/>
      <c r="AB42" s="1527"/>
      <c r="AC42" s="1527"/>
      <c r="AD42" s="1527"/>
      <c r="AE42" s="1527"/>
      <c r="AF42" s="1527"/>
      <c r="AG42" s="1527"/>
      <c r="AH42" s="1527"/>
      <c r="AI42" s="1528"/>
      <c r="AJ42" s="155"/>
      <c r="AK42" s="154"/>
      <c r="AL42" s="154"/>
      <c r="AM42" s="154"/>
      <c r="AN42" s="154"/>
      <c r="AO42" s="154"/>
      <c r="AP42" s="154"/>
      <c r="AQ42" s="154"/>
      <c r="AR42" s="154"/>
      <c r="AS42" s="154"/>
      <c r="AT42" s="154"/>
      <c r="AU42" s="154"/>
    </row>
    <row r="43" spans="1:52" ht="14.1" customHeight="1">
      <c r="A43" s="1644" t="s">
        <v>456</v>
      </c>
      <c r="B43" s="1645"/>
      <c r="C43" s="1645"/>
      <c r="D43" s="1645"/>
      <c r="E43" s="1645"/>
      <c r="F43" s="1646"/>
      <c r="G43" s="1636" t="s">
        <v>410</v>
      </c>
      <c r="H43" s="920"/>
      <c r="I43" s="920"/>
      <c r="J43" s="920"/>
      <c r="K43" s="920"/>
      <c r="L43" s="1637"/>
      <c r="M43" s="1636" t="s">
        <v>410</v>
      </c>
      <c r="N43" s="920"/>
      <c r="O43" s="920"/>
      <c r="P43" s="920"/>
      <c r="Q43" s="920"/>
      <c r="R43" s="920"/>
      <c r="S43" s="920"/>
      <c r="T43" s="920"/>
      <c r="U43" s="920"/>
      <c r="V43" s="920"/>
      <c r="W43" s="920"/>
      <c r="X43" s="1637"/>
      <c r="Y43" s="1636" t="s">
        <v>410</v>
      </c>
      <c r="Z43" s="920"/>
      <c r="AA43" s="920"/>
      <c r="AB43" s="920"/>
      <c r="AC43" s="920"/>
      <c r="AD43" s="920"/>
      <c r="AE43" s="920"/>
      <c r="AF43" s="920"/>
      <c r="AG43" s="920"/>
      <c r="AH43" s="920"/>
      <c r="AI43" s="1637"/>
      <c r="AJ43" s="147"/>
      <c r="AN43" s="1616" t="s">
        <v>118</v>
      </c>
      <c r="AO43" s="1616"/>
      <c r="AP43" s="1616"/>
      <c r="AQ43" s="1616"/>
      <c r="AR43" s="1616"/>
      <c r="AS43" s="1616"/>
      <c r="AT43" s="1616"/>
      <c r="AU43" s="1616"/>
      <c r="AV43" s="1616"/>
      <c r="AW43" s="1616"/>
      <c r="AX43" s="1616"/>
      <c r="AY43" s="1616"/>
      <c r="AZ43" s="1616"/>
    </row>
    <row r="44" spans="1:52" ht="14.1" customHeight="1" thickBot="1">
      <c r="A44" s="1677" t="s">
        <v>13</v>
      </c>
      <c r="B44" s="1678"/>
      <c r="C44" s="1678"/>
      <c r="D44" s="1678"/>
      <c r="E44" s="1678"/>
      <c r="F44" s="1679"/>
      <c r="G44" s="1638" t="str">
        <f>IF(G43="--","",VLOOKUP(G43,firmas!A2:B26,2,0))</f>
        <v/>
      </c>
      <c r="H44" s="1639"/>
      <c r="I44" s="1639"/>
      <c r="J44" s="1639"/>
      <c r="K44" s="1639"/>
      <c r="L44" s="1640"/>
      <c r="M44" s="1638" t="str">
        <f>IF(M43="--","",VLOOKUP(M43,firmas!A28:B31,2,0))</f>
        <v/>
      </c>
      <c r="N44" s="1639"/>
      <c r="O44" s="1639"/>
      <c r="P44" s="1639"/>
      <c r="Q44" s="1639"/>
      <c r="R44" s="1639"/>
      <c r="S44" s="1639"/>
      <c r="T44" s="1639"/>
      <c r="U44" s="1639"/>
      <c r="V44" s="1639"/>
      <c r="W44" s="1639"/>
      <c r="X44" s="1640"/>
      <c r="Y44" s="1638" t="str">
        <f>IF(Y43="--","",VLOOKUP(Y43,firmas!A33:B34,2))</f>
        <v/>
      </c>
      <c r="Z44" s="1639"/>
      <c r="AA44" s="1639"/>
      <c r="AB44" s="1639"/>
      <c r="AC44" s="1639"/>
      <c r="AD44" s="1639"/>
      <c r="AE44" s="1639"/>
      <c r="AF44" s="1639"/>
      <c r="AG44" s="1639"/>
      <c r="AH44" s="1639"/>
      <c r="AI44" s="1640"/>
      <c r="AJ44" s="147"/>
      <c r="AN44" s="1625" t="s">
        <v>119</v>
      </c>
      <c r="AO44" s="1625"/>
      <c r="AP44" s="1625"/>
      <c r="AQ44" s="1625"/>
      <c r="AR44" s="1625"/>
      <c r="AS44" s="1625"/>
      <c r="AT44" s="1625"/>
      <c r="AU44" s="1625"/>
      <c r="AV44" s="1625"/>
      <c r="AW44" s="1625"/>
      <c r="AX44" s="1625"/>
      <c r="AY44" s="1625"/>
      <c r="AZ44" s="1625"/>
    </row>
    <row r="45" spans="1:52" ht="12" customHeight="1" thickTop="1" thickBot="1">
      <c r="A45" s="1634" t="s">
        <v>23</v>
      </c>
      <c r="B45" s="1635"/>
      <c r="C45" s="1635"/>
      <c r="D45" s="1635"/>
      <c r="E45" s="1635"/>
      <c r="F45" s="1635"/>
      <c r="G45" s="1635"/>
      <c r="H45" s="1635"/>
      <c r="I45" s="1635"/>
      <c r="J45" s="1635"/>
      <c r="K45" s="1635"/>
      <c r="L45" s="1635"/>
      <c r="M45" s="1635"/>
      <c r="N45" s="1635"/>
      <c r="O45" s="1635"/>
      <c r="P45" s="1635"/>
      <c r="Q45" s="1635"/>
      <c r="R45" s="1635"/>
      <c r="S45" s="1635"/>
      <c r="T45" s="1635"/>
      <c r="U45" s="1635"/>
      <c r="V45" s="1635"/>
      <c r="W45" s="1635"/>
      <c r="X45" s="1635"/>
      <c r="Y45" s="1635"/>
      <c r="Z45" s="1635"/>
      <c r="AA45" s="1635"/>
      <c r="AB45" s="1635"/>
      <c r="AC45" s="1635"/>
      <c r="AD45" s="1635"/>
      <c r="AE45" s="1635"/>
      <c r="AF45" s="1635"/>
      <c r="AG45" s="1635"/>
      <c r="AH45" s="1635"/>
      <c r="AI45" s="1635"/>
      <c r="AJ45" s="147"/>
      <c r="AN45" s="1625"/>
      <c r="AO45" s="1625"/>
      <c r="AP45" s="1625"/>
      <c r="AQ45" s="1625"/>
      <c r="AR45" s="1625"/>
      <c r="AS45" s="1625"/>
      <c r="AT45" s="1625"/>
      <c r="AU45" s="1625"/>
      <c r="AV45" s="1625"/>
      <c r="AW45" s="1625"/>
      <c r="AX45" s="1625"/>
      <c r="AY45" s="1625"/>
      <c r="AZ45" s="1625"/>
    </row>
    <row r="46" spans="1:52" ht="18" customHeight="1" thickTop="1">
      <c r="A46" s="1338" t="s">
        <v>24</v>
      </c>
      <c r="B46" s="1338"/>
      <c r="C46" s="1338"/>
      <c r="D46" s="1338"/>
      <c r="E46" s="1338"/>
      <c r="F46" s="1338"/>
      <c r="G46" s="1338"/>
      <c r="H46" s="1338"/>
      <c r="I46" s="1338"/>
      <c r="J46" s="1338"/>
      <c r="K46" s="1338"/>
      <c r="L46" s="1338"/>
      <c r="M46" s="1338"/>
      <c r="N46" s="1338"/>
      <c r="O46" s="1338"/>
      <c r="P46" s="1338"/>
      <c r="Q46" s="1338"/>
      <c r="R46" s="1338"/>
      <c r="S46" s="1338"/>
      <c r="T46" s="1338"/>
      <c r="U46" s="1338"/>
      <c r="V46" s="1338"/>
      <c r="W46" s="1338"/>
      <c r="X46" s="1338"/>
      <c r="Y46" s="1338"/>
      <c r="Z46" s="1338"/>
      <c r="AA46" s="1338"/>
      <c r="AB46" s="1338"/>
      <c r="AC46" s="1338"/>
      <c r="AD46" s="1338"/>
      <c r="AE46" s="1338"/>
      <c r="AF46" s="1338"/>
      <c r="AG46" s="1338"/>
      <c r="AH46" s="1338"/>
      <c r="AI46" s="1338"/>
      <c r="AJ46" s="156"/>
      <c r="AN46" s="1625"/>
      <c r="AO46" s="1625"/>
      <c r="AP46" s="1625"/>
      <c r="AQ46" s="1625"/>
      <c r="AR46" s="1625"/>
      <c r="AS46" s="1625"/>
      <c r="AT46" s="1625"/>
      <c r="AU46" s="1625"/>
      <c r="AV46" s="1625"/>
      <c r="AW46" s="1625"/>
      <c r="AX46" s="1625"/>
      <c r="AY46" s="1625"/>
      <c r="AZ46" s="1625"/>
    </row>
    <row r="47" spans="1:52" ht="27.95" customHeight="1">
      <c r="A47" s="1147" t="s">
        <v>15</v>
      </c>
      <c r="B47" s="1147"/>
      <c r="C47" s="1147"/>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c r="AI47" s="1147"/>
      <c r="AJ47" s="147"/>
      <c r="AN47" s="1625"/>
      <c r="AO47" s="1625"/>
      <c r="AP47" s="1625"/>
      <c r="AQ47" s="1625"/>
      <c r="AR47" s="1625"/>
      <c r="AS47" s="1625"/>
      <c r="AT47" s="1625"/>
      <c r="AU47" s="1625"/>
      <c r="AV47" s="1625"/>
      <c r="AW47" s="1625"/>
      <c r="AX47" s="1625"/>
      <c r="AY47" s="1625"/>
      <c r="AZ47" s="1625"/>
    </row>
    <row r="48" spans="1:52" ht="12" customHeight="1">
      <c r="AJ48" s="147"/>
      <c r="AN48" s="1613" t="s">
        <v>231</v>
      </c>
      <c r="AO48" s="1613"/>
      <c r="AP48" s="1613"/>
      <c r="AQ48" s="1613"/>
      <c r="AR48" s="1613"/>
      <c r="AS48" s="1613"/>
      <c r="AT48" s="1613"/>
      <c r="AU48" s="1613"/>
      <c r="AV48" s="1613"/>
      <c r="AW48" s="1613"/>
      <c r="AX48" s="1613"/>
      <c r="AY48" s="1613"/>
      <c r="AZ48" s="1613"/>
    </row>
    <row r="49" spans="1:71" ht="9" customHeight="1">
      <c r="AJ49" s="147"/>
      <c r="AN49" s="1613"/>
      <c r="AO49" s="1613"/>
      <c r="AP49" s="1613"/>
      <c r="AQ49" s="1613"/>
      <c r="AR49" s="1613"/>
      <c r="AS49" s="1613"/>
      <c r="AT49" s="1613"/>
      <c r="AU49" s="1613"/>
      <c r="AV49" s="1613"/>
      <c r="AW49" s="1613"/>
      <c r="AX49" s="1613"/>
      <c r="AY49" s="1613"/>
      <c r="AZ49" s="1613"/>
    </row>
    <row r="50" spans="1:71" ht="14.1" customHeight="1">
      <c r="AJ50" s="147"/>
      <c r="AN50" s="1613"/>
      <c r="AO50" s="1613"/>
      <c r="AP50" s="1613"/>
      <c r="AQ50" s="1613"/>
      <c r="AR50" s="1613"/>
      <c r="AS50" s="1613"/>
      <c r="AT50" s="1613"/>
      <c r="AU50" s="1613"/>
      <c r="AV50" s="1613"/>
      <c r="AW50" s="1613"/>
      <c r="AX50" s="1613"/>
      <c r="AY50" s="1613"/>
      <c r="AZ50" s="1613"/>
    </row>
    <row r="51" spans="1:71" ht="39.950000000000003" customHeight="1">
      <c r="AJ51" s="147"/>
      <c r="AN51" s="157"/>
      <c r="AO51" s="157"/>
      <c r="AP51" s="157"/>
      <c r="AQ51" s="157"/>
      <c r="AR51" s="157"/>
      <c r="AS51" s="157"/>
      <c r="AT51" s="157"/>
      <c r="AU51" s="157"/>
      <c r="AV51" s="157"/>
      <c r="AW51" s="157"/>
      <c r="AX51" s="157"/>
      <c r="AY51" s="157"/>
      <c r="AZ51" s="157"/>
      <c r="BA51" s="158"/>
    </row>
    <row r="52" spans="1:71" s="72" customFormat="1" ht="14.1" customHeight="1">
      <c r="A52" s="140"/>
      <c r="B52" s="140"/>
      <c r="C52" s="140"/>
      <c r="D52" s="140"/>
      <c r="E52" s="140"/>
      <c r="F52" s="140"/>
      <c r="G52" s="140"/>
      <c r="H52" s="140"/>
      <c r="I52" s="140"/>
      <c r="J52" s="140"/>
      <c r="K52" s="140"/>
      <c r="L52" s="140"/>
      <c r="M52" s="140"/>
      <c r="N52" s="140"/>
      <c r="O52" s="140"/>
      <c r="P52" s="140"/>
      <c r="Q52" s="140"/>
      <c r="R52" s="140"/>
      <c r="S52" s="140"/>
      <c r="T52" s="140"/>
      <c r="U52" s="140"/>
      <c r="V52" s="140"/>
      <c r="W52" s="140"/>
      <c r="X52" s="140"/>
      <c r="Y52" s="140"/>
      <c r="Z52" s="140"/>
      <c r="AA52" s="140"/>
      <c r="AB52" s="140"/>
      <c r="AC52" s="140"/>
      <c r="AD52" s="140"/>
      <c r="AE52" s="140"/>
      <c r="AF52" s="140"/>
      <c r="AG52" s="140"/>
      <c r="AH52" s="140"/>
      <c r="AI52" s="140"/>
      <c r="AP52" s="159"/>
      <c r="AQ52" s="159"/>
      <c r="AR52" s="160"/>
      <c r="AS52" s="159"/>
      <c r="AT52" s="159"/>
      <c r="AU52" s="160"/>
    </row>
    <row r="53" spans="1:71" s="67" customFormat="1" ht="14.1" customHeight="1">
      <c r="A53" s="140"/>
      <c r="B53" s="140"/>
      <c r="C53" s="140"/>
      <c r="D53" s="140"/>
      <c r="E53" s="140"/>
      <c r="F53" s="140"/>
      <c r="G53" s="140"/>
      <c r="H53" s="140"/>
      <c r="I53" s="140"/>
      <c r="J53" s="140"/>
      <c r="K53" s="140"/>
      <c r="L53" s="140"/>
      <c r="M53" s="140"/>
      <c r="N53" s="140"/>
      <c r="O53" s="140"/>
      <c r="P53" s="140"/>
      <c r="Q53" s="140"/>
      <c r="R53" s="140"/>
      <c r="S53" s="140"/>
      <c r="T53" s="140"/>
      <c r="U53" s="140"/>
      <c r="V53" s="140"/>
      <c r="W53" s="140"/>
      <c r="X53" s="140"/>
      <c r="Y53" s="140"/>
      <c r="Z53" s="140"/>
      <c r="AA53" s="140"/>
      <c r="AB53" s="140"/>
      <c r="AC53" s="140"/>
      <c r="AD53" s="140"/>
      <c r="AE53" s="140"/>
      <c r="AF53" s="140"/>
      <c r="AG53" s="140"/>
      <c r="AH53" s="140"/>
      <c r="AI53" s="140"/>
    </row>
    <row r="54" spans="1:71" s="67" customFormat="1" ht="12" customHeight="1">
      <c r="A54" s="140"/>
      <c r="B54" s="140"/>
      <c r="C54" s="140"/>
      <c r="D54" s="140"/>
      <c r="E54" s="140"/>
      <c r="F54" s="140"/>
      <c r="G54" s="140"/>
      <c r="H54" s="140"/>
      <c r="I54" s="140"/>
      <c r="J54" s="140"/>
      <c r="K54" s="140"/>
      <c r="L54" s="140"/>
      <c r="M54" s="140"/>
      <c r="N54" s="140"/>
      <c r="O54" s="140"/>
      <c r="P54" s="140"/>
      <c r="Q54" s="140"/>
      <c r="R54" s="140"/>
      <c r="S54" s="140"/>
      <c r="T54" s="140"/>
      <c r="U54" s="140"/>
      <c r="V54" s="140"/>
      <c r="W54" s="140"/>
      <c r="X54" s="140"/>
      <c r="Y54" s="140"/>
      <c r="Z54" s="140"/>
      <c r="AA54" s="140"/>
      <c r="AB54" s="140"/>
      <c r="AC54" s="140"/>
      <c r="AD54" s="140"/>
      <c r="AE54" s="140"/>
      <c r="AF54" s="140"/>
      <c r="AG54" s="140"/>
      <c r="AH54" s="140"/>
      <c r="AI54" s="140"/>
    </row>
    <row r="55" spans="1:71" s="67" customFormat="1" ht="18" customHeight="1">
      <c r="A55" s="140"/>
      <c r="B55" s="140"/>
      <c r="C55" s="140"/>
      <c r="D55" s="140"/>
      <c r="E55" s="140"/>
      <c r="F55" s="140"/>
      <c r="G55" s="140"/>
      <c r="H55" s="140"/>
      <c r="I55" s="140"/>
      <c r="J55" s="140"/>
      <c r="K55" s="140"/>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row>
    <row r="56" spans="1:71" s="67" customFormat="1" ht="27.95" customHeight="1">
      <c r="A56" s="140"/>
      <c r="B56" s="140"/>
      <c r="C56" s="140"/>
      <c r="D56" s="140"/>
      <c r="E56" s="140"/>
      <c r="F56" s="140"/>
      <c r="G56" s="140"/>
      <c r="H56" s="140"/>
      <c r="I56" s="140"/>
      <c r="J56" s="140"/>
      <c r="K56" s="140"/>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row>
    <row r="57" spans="1:71" s="67" customFormat="1" ht="18" customHeight="1">
      <c r="A57" s="140"/>
      <c r="B57" s="140"/>
      <c r="C57" s="140"/>
      <c r="D57" s="140"/>
      <c r="E57" s="140"/>
      <c r="F57" s="140"/>
      <c r="G57" s="140"/>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row>
    <row r="58" spans="1:71" s="73" customFormat="1" ht="18" customHeight="1">
      <c r="A58" s="140"/>
      <c r="B58" s="140"/>
      <c r="C58" s="140"/>
      <c r="D58" s="140"/>
      <c r="E58" s="140"/>
      <c r="F58" s="140"/>
      <c r="G58" s="140"/>
      <c r="H58" s="140"/>
      <c r="I58" s="140"/>
      <c r="J58" s="140"/>
      <c r="K58" s="140"/>
      <c r="L58" s="140"/>
      <c r="M58" s="140"/>
      <c r="N58" s="140"/>
      <c r="O58" s="140"/>
      <c r="P58" s="140"/>
      <c r="Q58" s="140"/>
      <c r="R58" s="140"/>
      <c r="S58" s="140"/>
      <c r="T58" s="140"/>
      <c r="U58" s="140"/>
      <c r="V58" s="140"/>
      <c r="W58" s="140"/>
      <c r="X58" s="140"/>
      <c r="Y58" s="140"/>
      <c r="Z58" s="140"/>
      <c r="AA58" s="140"/>
      <c r="AB58" s="140"/>
      <c r="AC58" s="140"/>
      <c r="AD58" s="140"/>
      <c r="AE58" s="140"/>
      <c r="AF58" s="140"/>
      <c r="AG58" s="140"/>
      <c r="AH58" s="140"/>
      <c r="AI58" s="140"/>
    </row>
    <row r="59" spans="1:71" s="67" customFormat="1" ht="18.75" customHeight="1">
      <c r="A59" s="140"/>
      <c r="B59" s="140"/>
      <c r="C59" s="140"/>
      <c r="D59" s="140"/>
      <c r="E59" s="140"/>
      <c r="F59" s="140"/>
      <c r="G59" s="140"/>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row>
    <row r="60" spans="1:71" s="67" customFormat="1" ht="30" customHeight="1">
      <c r="A60" s="140"/>
      <c r="B60" s="140"/>
      <c r="C60" s="140"/>
      <c r="D60" s="140"/>
      <c r="E60" s="140"/>
      <c r="F60" s="140"/>
      <c r="G60" s="140"/>
      <c r="H60" s="140"/>
      <c r="I60" s="140"/>
      <c r="J60" s="140"/>
      <c r="K60" s="140"/>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row>
    <row r="61" spans="1:71" ht="11.25" customHeight="1">
      <c r="AJ61" s="147"/>
      <c r="AN61" s="157"/>
      <c r="AO61" s="157"/>
      <c r="AP61" s="157"/>
      <c r="AQ61" s="157"/>
      <c r="AR61" s="157"/>
      <c r="AS61" s="157"/>
      <c r="AT61" s="157"/>
      <c r="AU61" s="157"/>
      <c r="AV61" s="157"/>
      <c r="AW61" s="157"/>
      <c r="AX61" s="157"/>
      <c r="AY61" s="157"/>
      <c r="AZ61" s="157"/>
      <c r="BA61" s="158"/>
    </row>
    <row r="62" spans="1:71" ht="9" customHeight="1">
      <c r="AJ62" s="147"/>
      <c r="AN62" s="157"/>
      <c r="AO62" s="157"/>
      <c r="AP62" s="157"/>
      <c r="AQ62" s="157"/>
      <c r="AR62" s="157"/>
      <c r="AS62" s="157"/>
      <c r="AT62" s="157"/>
      <c r="AU62" s="157"/>
      <c r="AV62" s="157"/>
      <c r="AW62" s="157"/>
      <c r="AX62" s="157"/>
      <c r="AY62" s="157"/>
      <c r="AZ62" s="157"/>
      <c r="BA62" s="158"/>
    </row>
    <row r="63" spans="1:71" s="162" customFormat="1" ht="24.75" customHeight="1">
      <c r="A63" s="140"/>
      <c r="B63" s="140"/>
      <c r="C63" s="140"/>
      <c r="D63" s="140"/>
      <c r="E63" s="140"/>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61"/>
      <c r="AK63" s="161"/>
      <c r="AL63" s="161"/>
      <c r="AM63" s="161"/>
      <c r="AN63" s="161"/>
      <c r="AO63" s="161"/>
      <c r="AP63" s="161"/>
      <c r="AQ63" s="161"/>
      <c r="AR63" s="161"/>
      <c r="AS63" s="161"/>
      <c r="AT63" s="161"/>
      <c r="AU63" s="161"/>
      <c r="AV63" s="161"/>
      <c r="AW63" s="161"/>
      <c r="AX63" s="161"/>
      <c r="AY63" s="161"/>
      <c r="AZ63" s="161"/>
      <c r="BA63" s="161"/>
      <c r="BB63" s="161"/>
      <c r="BC63" s="161"/>
      <c r="BD63" s="161"/>
      <c r="BE63" s="161"/>
      <c r="BF63" s="161"/>
      <c r="BG63" s="161"/>
      <c r="BH63" s="161"/>
      <c r="BI63" s="161"/>
      <c r="BJ63" s="161"/>
      <c r="BK63" s="161"/>
      <c r="BL63" s="161"/>
      <c r="BM63" s="161"/>
      <c r="BN63" s="161"/>
      <c r="BO63" s="161"/>
      <c r="BP63" s="161"/>
      <c r="BQ63" s="161"/>
      <c r="BR63" s="161"/>
      <c r="BS63" s="161"/>
    </row>
    <row r="64" spans="1:71" s="162" customFormat="1" ht="27.75" customHeight="1">
      <c r="A64" s="140"/>
      <c r="B64" s="140"/>
      <c r="C64" s="140"/>
      <c r="D64" s="140"/>
      <c r="E64" s="140"/>
      <c r="F64" s="140"/>
      <c r="G64" s="140"/>
      <c r="H64" s="140"/>
      <c r="I64" s="140"/>
      <c r="J64" s="140"/>
      <c r="K64" s="140"/>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61"/>
      <c r="AK64" s="161"/>
      <c r="AL64" s="161"/>
      <c r="AM64" s="161"/>
      <c r="AN64" s="161"/>
      <c r="AO64" s="161"/>
      <c r="AP64" s="161"/>
      <c r="AQ64" s="161"/>
      <c r="AR64" s="161"/>
      <c r="AS64" s="161"/>
      <c r="AT64" s="161"/>
      <c r="AU64" s="161"/>
      <c r="AV64" s="161"/>
      <c r="AW64" s="161"/>
      <c r="AX64" s="161"/>
      <c r="AY64" s="161"/>
      <c r="AZ64" s="161"/>
      <c r="BA64" s="161"/>
      <c r="BB64" s="161"/>
      <c r="BC64" s="161"/>
      <c r="BD64" s="161"/>
      <c r="BE64" s="161"/>
      <c r="BF64" s="161"/>
      <c r="BG64" s="161"/>
      <c r="BH64" s="161"/>
      <c r="BI64" s="161"/>
      <c r="BJ64" s="161"/>
      <c r="BK64" s="161"/>
      <c r="BL64" s="161"/>
      <c r="BM64" s="161"/>
      <c r="BN64" s="161"/>
      <c r="BO64" s="161"/>
      <c r="BP64" s="161"/>
      <c r="BQ64" s="161"/>
      <c r="BR64" s="161"/>
      <c r="BS64" s="161"/>
    </row>
  </sheetData>
  <sheetProtection algorithmName="SHA-512" hashValue="PT0Fyrg6LvEDbpiiJ8bjGXwpNRByRZdyWpmedBOdqwXASN+iC+AT05R14AnJ7ygkVMfTssEa4SuuDtmpvHfIfg==" saltValue="W8w50DSeN5ajufA2b44dDQ==" spinCount="100000" sheet="1" formatCells="0" formatColumns="0" formatRows="0"/>
  <mergeCells count="198">
    <mergeCell ref="F39:AI39"/>
    <mergeCell ref="W32:AB32"/>
    <mergeCell ref="A32:D32"/>
    <mergeCell ref="AK32:AL32"/>
    <mergeCell ref="H32:I32"/>
    <mergeCell ref="J32:O32"/>
    <mergeCell ref="P32:V32"/>
    <mergeCell ref="BO20:CE20"/>
    <mergeCell ref="A10:AI10"/>
    <mergeCell ref="AB20:AI20"/>
    <mergeCell ref="R19:AA19"/>
    <mergeCell ref="R20:AA20"/>
    <mergeCell ref="I19:Q19"/>
    <mergeCell ref="I20:Q20"/>
    <mergeCell ref="AT28:BJ28"/>
    <mergeCell ref="R22:AI22"/>
    <mergeCell ref="A21:Q21"/>
    <mergeCell ref="A22:Q22"/>
    <mergeCell ref="A23:AI23"/>
    <mergeCell ref="AF24:AI24"/>
    <mergeCell ref="AF25:AI25"/>
    <mergeCell ref="A24:G24"/>
    <mergeCell ref="A25:H25"/>
    <mergeCell ref="A26:H26"/>
    <mergeCell ref="J37:O37"/>
    <mergeCell ref="P37:V37"/>
    <mergeCell ref="W37:AB37"/>
    <mergeCell ref="A38:I38"/>
    <mergeCell ref="J38:M38"/>
    <mergeCell ref="N38:AD38"/>
    <mergeCell ref="AC33:AI33"/>
    <mergeCell ref="A34:D34"/>
    <mergeCell ref="AK34:AL34"/>
    <mergeCell ref="H34:I34"/>
    <mergeCell ref="J34:O34"/>
    <mergeCell ref="P34:V34"/>
    <mergeCell ref="W34:AB34"/>
    <mergeCell ref="AC34:AI34"/>
    <mergeCell ref="A33:D33"/>
    <mergeCell ref="AK33:AL33"/>
    <mergeCell ref="AJ23:AN23"/>
    <mergeCell ref="A27:I27"/>
    <mergeCell ref="A44:F44"/>
    <mergeCell ref="A37:D37"/>
    <mergeCell ref="E37:F37"/>
    <mergeCell ref="Y43:AI43"/>
    <mergeCell ref="Y44:AI44"/>
    <mergeCell ref="M41:X41"/>
    <mergeCell ref="M42:X42"/>
    <mergeCell ref="M43:X43"/>
    <mergeCell ref="M44:X44"/>
    <mergeCell ref="G41:L41"/>
    <mergeCell ref="H28:I29"/>
    <mergeCell ref="AD24:AE24"/>
    <mergeCell ref="AD25:AE25"/>
    <mergeCell ref="AD26:AE26"/>
    <mergeCell ref="J25:M25"/>
    <mergeCell ref="O24:AC24"/>
    <mergeCell ref="O25:AC25"/>
    <mergeCell ref="A39:E39"/>
    <mergeCell ref="H33:I33"/>
    <mergeCell ref="J33:O33"/>
    <mergeCell ref="P33:V33"/>
    <mergeCell ref="W33:AB33"/>
    <mergeCell ref="AJ20:AP20"/>
    <mergeCell ref="AF26:AI26"/>
    <mergeCell ref="J27:V27"/>
    <mergeCell ref="W27:AI27"/>
    <mergeCell ref="AR21:BH21"/>
    <mergeCell ref="R21:AI21"/>
    <mergeCell ref="AC32:AI32"/>
    <mergeCell ref="A31:D31"/>
    <mergeCell ref="AK31:AL31"/>
    <mergeCell ref="H31:I31"/>
    <mergeCell ref="J31:O31"/>
    <mergeCell ref="P31:V31"/>
    <mergeCell ref="W31:AB31"/>
    <mergeCell ref="AC30:AI30"/>
    <mergeCell ref="AC31:AI31"/>
    <mergeCell ref="A30:D30"/>
    <mergeCell ref="AK30:AL30"/>
    <mergeCell ref="H30:I30"/>
    <mergeCell ref="J30:O30"/>
    <mergeCell ref="P30:V30"/>
    <mergeCell ref="W30:AB30"/>
    <mergeCell ref="A28:D29"/>
    <mergeCell ref="E28:F29"/>
    <mergeCell ref="G28:G29"/>
    <mergeCell ref="AN48:AZ50"/>
    <mergeCell ref="AC35:AI35"/>
    <mergeCell ref="AN43:AZ43"/>
    <mergeCell ref="H36:I36"/>
    <mergeCell ref="J36:O36"/>
    <mergeCell ref="P36:V36"/>
    <mergeCell ref="W36:AB36"/>
    <mergeCell ref="AC36:AI36"/>
    <mergeCell ref="AN44:AZ47"/>
    <mergeCell ref="H35:I35"/>
    <mergeCell ref="J35:O35"/>
    <mergeCell ref="P35:V35"/>
    <mergeCell ref="W35:AB35"/>
    <mergeCell ref="AC37:AI37"/>
    <mergeCell ref="A45:AI45"/>
    <mergeCell ref="A46:AI46"/>
    <mergeCell ref="A47:AI47"/>
    <mergeCell ref="G43:L43"/>
    <mergeCell ref="G44:L44"/>
    <mergeCell ref="A41:F41"/>
    <mergeCell ref="A42:F42"/>
    <mergeCell ref="A43:F43"/>
    <mergeCell ref="G42:L42"/>
    <mergeCell ref="AE38:AI38"/>
    <mergeCell ref="V6:AC6"/>
    <mergeCell ref="A7:D7"/>
    <mergeCell ref="A8:D8"/>
    <mergeCell ref="A9:D9"/>
    <mergeCell ref="E9:U9"/>
    <mergeCell ref="A19:H19"/>
    <mergeCell ref="A20:H20"/>
    <mergeCell ref="AB19:AI19"/>
    <mergeCell ref="E6:U6"/>
    <mergeCell ref="A6:D6"/>
    <mergeCell ref="E7:H7"/>
    <mergeCell ref="E8:H8"/>
    <mergeCell ref="M8:U8"/>
    <mergeCell ref="V7:AC7"/>
    <mergeCell ref="V8:AC8"/>
    <mergeCell ref="V9:AC9"/>
    <mergeCell ref="I7:L7"/>
    <mergeCell ref="M7:U7"/>
    <mergeCell ref="AD8:AI8"/>
    <mergeCell ref="A18:G18"/>
    <mergeCell ref="A14:G14"/>
    <mergeCell ref="AB16:AI16"/>
    <mergeCell ref="E17:H17"/>
    <mergeCell ref="I8:L8"/>
    <mergeCell ref="G1:AI1"/>
    <mergeCell ref="G2:AI2"/>
    <mergeCell ref="G3:AI3"/>
    <mergeCell ref="G4:U4"/>
    <mergeCell ref="V4:AI4"/>
    <mergeCell ref="G5:AI5"/>
    <mergeCell ref="A15:AI15"/>
    <mergeCell ref="A12:D13"/>
    <mergeCell ref="AB12:AI12"/>
    <mergeCell ref="R12:AA12"/>
    <mergeCell ref="AB13:AI13"/>
    <mergeCell ref="I12:Q12"/>
    <mergeCell ref="E12:H12"/>
    <mergeCell ref="R13:AA13"/>
    <mergeCell ref="I13:Q13"/>
    <mergeCell ref="E13:H13"/>
    <mergeCell ref="R14:AA14"/>
    <mergeCell ref="I14:Q14"/>
    <mergeCell ref="AB14:AI14"/>
    <mergeCell ref="A11:AI11"/>
    <mergeCell ref="A1:F5"/>
    <mergeCell ref="AD6:AI6"/>
    <mergeCell ref="AD7:AI7"/>
    <mergeCell ref="AD9:AI9"/>
    <mergeCell ref="A40:AI40"/>
    <mergeCell ref="Y41:AI41"/>
    <mergeCell ref="Y42:AI42"/>
    <mergeCell ref="A36:D36"/>
    <mergeCell ref="AK36:AL36"/>
    <mergeCell ref="A35:D35"/>
    <mergeCell ref="AK35:AL35"/>
    <mergeCell ref="I17:Q17"/>
    <mergeCell ref="R17:AA17"/>
    <mergeCell ref="AB17:AI17"/>
    <mergeCell ref="A16:D17"/>
    <mergeCell ref="E16:H16"/>
    <mergeCell ref="I16:Q16"/>
    <mergeCell ref="R16:AA16"/>
    <mergeCell ref="I18:Q18"/>
    <mergeCell ref="R18:AA18"/>
    <mergeCell ref="AB18:AI18"/>
    <mergeCell ref="O26:AC26"/>
    <mergeCell ref="J24:M24"/>
    <mergeCell ref="J28:O29"/>
    <mergeCell ref="P28:V29"/>
    <mergeCell ref="W28:AB29"/>
    <mergeCell ref="AC28:AI29"/>
    <mergeCell ref="H37:I37"/>
    <mergeCell ref="E30:F30"/>
    <mergeCell ref="E31:F31"/>
    <mergeCell ref="E32:F32"/>
    <mergeCell ref="E33:F33"/>
    <mergeCell ref="E34:F34"/>
    <mergeCell ref="E35:F35"/>
    <mergeCell ref="E36:F36"/>
    <mergeCell ref="AM30:AN30"/>
    <mergeCell ref="AM31:AN31"/>
    <mergeCell ref="AM32:AN32"/>
    <mergeCell ref="AM33:AN33"/>
    <mergeCell ref="AM34:AN34"/>
    <mergeCell ref="AM35:AN35"/>
    <mergeCell ref="AM36:AN36"/>
  </mergeCells>
  <dataValidations count="2">
    <dataValidation type="list" allowBlank="1" showInputMessage="1" showErrorMessage="1" sqref="R21:AI21">
      <formula1>$AR$22:$AR$23</formula1>
    </dataValidation>
    <dataValidation type="list" allowBlank="1" showInputMessage="1" showErrorMessage="1" sqref="R22:AI22">
      <formula1>$AT$29:$AT$30</formula1>
    </dataValidation>
  </dataValidations>
  <printOptions horizontalCentered="1"/>
  <pageMargins left="0.59055118110236227" right="0.19685039370078741" top="0" bottom="0" header="0" footer="0.78740157480314965"/>
  <pageSetup orientation="portrait" r:id="rId1"/>
  <headerFooter scaleWithDoc="0">
    <oddHeader xml:space="preserve">&amp;L&amp;"Eurostile Extended,Regular Negrita"&amp;16
</oddHeader>
    <oddFooter>&amp;L&amp;6Calle 26 No. 57-41 Torre 8 Pisos 7-8 CEMSA - CP: 1113111            
Pbx: 3779555  - Información: Línea 195     
www.umv.gov.co111311&amp;C&amp;6PRO-FM-022
Página 1 de 1</oddFooter>
  </headerFooter>
  <ignoredErrors>
    <ignoredError sqref="AF24:AI26 J24:M25 I18:AA20" unlockedFormula="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firmas!$A$2:$A$26</xm:f>
          </x14:formula1>
          <xm:sqref>G43:L43</xm:sqref>
        </x14:dataValidation>
        <x14:dataValidation type="list" allowBlank="1" showInputMessage="1" showErrorMessage="1">
          <x14:formula1>
            <xm:f>firmas!$A$28:$A$31</xm:f>
          </x14:formula1>
          <xm:sqref>M43:X43</xm:sqref>
        </x14:dataValidation>
        <x14:dataValidation type="list" allowBlank="1" showInputMessage="1" showErrorMessage="1">
          <x14:formula1>
            <xm:f>firmas!$A$33:$A$35</xm:f>
          </x14:formula1>
          <xm:sqref>Y43:AI43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BI34"/>
  <sheetViews>
    <sheetView showGridLines="0" view="pageBreakPreview" topLeftCell="A25" zoomScaleSheetLayoutView="100" workbookViewId="0">
      <selection activeCell="W30" sqref="L30:AJ30"/>
    </sheetView>
  </sheetViews>
  <sheetFormatPr baseColWidth="10" defaultColWidth="2.7109375" defaultRowHeight="12.95" customHeight="1"/>
  <cols>
    <col min="1" max="17" width="2" style="140" customWidth="1"/>
    <col min="18" max="22" width="2.5703125" style="140" customWidth="1"/>
    <col min="23" max="23" width="1.85546875" style="140" customWidth="1"/>
    <col min="24" max="24" width="1.7109375" style="140" customWidth="1"/>
    <col min="25" max="25" width="2" style="140" customWidth="1"/>
    <col min="26" max="26" width="1.7109375" style="140" customWidth="1"/>
    <col min="27" max="27" width="2.85546875" style="140" customWidth="1"/>
    <col min="28" max="28" width="1.85546875" style="140" customWidth="1"/>
    <col min="29" max="32" width="2" style="140" customWidth="1"/>
    <col min="33" max="33" width="1.42578125" style="140" customWidth="1"/>
    <col min="34" max="34" width="1.28515625" style="140" customWidth="1"/>
    <col min="35" max="35" width="0.42578125" style="140" customWidth="1"/>
    <col min="36" max="36" width="2" style="140" customWidth="1"/>
    <col min="37" max="37" width="2.7109375" style="140" customWidth="1"/>
    <col min="38" max="39" width="2" style="140" customWidth="1"/>
    <col min="40" max="40" width="2.7109375" style="140" customWidth="1"/>
    <col min="41" max="41" width="2" style="140" customWidth="1"/>
    <col min="42" max="42" width="1.42578125" style="140" customWidth="1"/>
    <col min="43" max="48" width="2" style="140" customWidth="1"/>
    <col min="49" max="256" width="2.7109375" style="140"/>
    <col min="257" max="304" width="2.85546875" style="140" customWidth="1"/>
    <col min="305" max="512" width="2.7109375" style="140"/>
    <col min="513" max="560" width="2.85546875" style="140" customWidth="1"/>
    <col min="561" max="768" width="2.7109375" style="140"/>
    <col min="769" max="816" width="2.85546875" style="140" customWidth="1"/>
    <col min="817" max="1024" width="2.7109375" style="140"/>
    <col min="1025" max="1072" width="2.85546875" style="140" customWidth="1"/>
    <col min="1073" max="1280" width="2.7109375" style="140"/>
    <col min="1281" max="1328" width="2.85546875" style="140" customWidth="1"/>
    <col min="1329" max="1536" width="2.7109375" style="140"/>
    <col min="1537" max="1584" width="2.85546875" style="140" customWidth="1"/>
    <col min="1585" max="1792" width="2.7109375" style="140"/>
    <col min="1793" max="1840" width="2.85546875" style="140" customWidth="1"/>
    <col min="1841" max="2048" width="2.7109375" style="140"/>
    <col min="2049" max="2096" width="2.85546875" style="140" customWidth="1"/>
    <col min="2097" max="2304" width="2.7109375" style="140"/>
    <col min="2305" max="2352" width="2.85546875" style="140" customWidth="1"/>
    <col min="2353" max="2560" width="2.7109375" style="140"/>
    <col min="2561" max="2608" width="2.85546875" style="140" customWidth="1"/>
    <col min="2609" max="2816" width="2.7109375" style="140"/>
    <col min="2817" max="2864" width="2.85546875" style="140" customWidth="1"/>
    <col min="2865" max="3072" width="2.7109375" style="140"/>
    <col min="3073" max="3120" width="2.85546875" style="140" customWidth="1"/>
    <col min="3121" max="3328" width="2.7109375" style="140"/>
    <col min="3329" max="3376" width="2.85546875" style="140" customWidth="1"/>
    <col min="3377" max="3584" width="2.7109375" style="140"/>
    <col min="3585" max="3632" width="2.85546875" style="140" customWidth="1"/>
    <col min="3633" max="3840" width="2.7109375" style="140"/>
    <col min="3841" max="3888" width="2.85546875" style="140" customWidth="1"/>
    <col min="3889" max="4096" width="2.7109375" style="140"/>
    <col min="4097" max="4144" width="2.85546875" style="140" customWidth="1"/>
    <col min="4145" max="4352" width="2.7109375" style="140"/>
    <col min="4353" max="4400" width="2.85546875" style="140" customWidth="1"/>
    <col min="4401" max="4608" width="2.7109375" style="140"/>
    <col min="4609" max="4656" width="2.85546875" style="140" customWidth="1"/>
    <col min="4657" max="4864" width="2.7109375" style="140"/>
    <col min="4865" max="4912" width="2.85546875" style="140" customWidth="1"/>
    <col min="4913" max="5120" width="2.7109375" style="140"/>
    <col min="5121" max="5168" width="2.85546875" style="140" customWidth="1"/>
    <col min="5169" max="5376" width="2.7109375" style="140"/>
    <col min="5377" max="5424" width="2.85546875" style="140" customWidth="1"/>
    <col min="5425" max="5632" width="2.7109375" style="140"/>
    <col min="5633" max="5680" width="2.85546875" style="140" customWidth="1"/>
    <col min="5681" max="5888" width="2.7109375" style="140"/>
    <col min="5889" max="5936" width="2.85546875" style="140" customWidth="1"/>
    <col min="5937" max="6144" width="2.7109375" style="140"/>
    <col min="6145" max="6192" width="2.85546875" style="140" customWidth="1"/>
    <col min="6193" max="6400" width="2.7109375" style="140"/>
    <col min="6401" max="6448" width="2.85546875" style="140" customWidth="1"/>
    <col min="6449" max="6656" width="2.7109375" style="140"/>
    <col min="6657" max="6704" width="2.85546875" style="140" customWidth="1"/>
    <col min="6705" max="6912" width="2.7109375" style="140"/>
    <col min="6913" max="6960" width="2.85546875" style="140" customWidth="1"/>
    <col min="6961" max="7168" width="2.7109375" style="140"/>
    <col min="7169" max="7216" width="2.85546875" style="140" customWidth="1"/>
    <col min="7217" max="7424" width="2.7109375" style="140"/>
    <col min="7425" max="7472" width="2.85546875" style="140" customWidth="1"/>
    <col min="7473" max="7680" width="2.7109375" style="140"/>
    <col min="7681" max="7728" width="2.85546875" style="140" customWidth="1"/>
    <col min="7729" max="7936" width="2.7109375" style="140"/>
    <col min="7937" max="7984" width="2.85546875" style="140" customWidth="1"/>
    <col min="7985" max="8192" width="2.7109375" style="140"/>
    <col min="8193" max="8240" width="2.85546875" style="140" customWidth="1"/>
    <col min="8241" max="8448" width="2.7109375" style="140"/>
    <col min="8449" max="8496" width="2.85546875" style="140" customWidth="1"/>
    <col min="8497" max="8704" width="2.7109375" style="140"/>
    <col min="8705" max="8752" width="2.85546875" style="140" customWidth="1"/>
    <col min="8753" max="8960" width="2.7109375" style="140"/>
    <col min="8961" max="9008" width="2.85546875" style="140" customWidth="1"/>
    <col min="9009" max="9216" width="2.7109375" style="140"/>
    <col min="9217" max="9264" width="2.85546875" style="140" customWidth="1"/>
    <col min="9265" max="9472" width="2.7109375" style="140"/>
    <col min="9473" max="9520" width="2.85546875" style="140" customWidth="1"/>
    <col min="9521" max="9728" width="2.7109375" style="140"/>
    <col min="9729" max="9776" width="2.85546875" style="140" customWidth="1"/>
    <col min="9777" max="9984" width="2.7109375" style="140"/>
    <col min="9985" max="10032" width="2.85546875" style="140" customWidth="1"/>
    <col min="10033" max="10240" width="2.7109375" style="140"/>
    <col min="10241" max="10288" width="2.85546875" style="140" customWidth="1"/>
    <col min="10289" max="10496" width="2.7109375" style="140"/>
    <col min="10497" max="10544" width="2.85546875" style="140" customWidth="1"/>
    <col min="10545" max="10752" width="2.7109375" style="140"/>
    <col min="10753" max="10800" width="2.85546875" style="140" customWidth="1"/>
    <col min="10801" max="11008" width="2.7109375" style="140"/>
    <col min="11009" max="11056" width="2.85546875" style="140" customWidth="1"/>
    <col min="11057" max="11264" width="2.7109375" style="140"/>
    <col min="11265" max="11312" width="2.85546875" style="140" customWidth="1"/>
    <col min="11313" max="11520" width="2.7109375" style="140"/>
    <col min="11521" max="11568" width="2.85546875" style="140" customWidth="1"/>
    <col min="11569" max="11776" width="2.7109375" style="140"/>
    <col min="11777" max="11824" width="2.85546875" style="140" customWidth="1"/>
    <col min="11825" max="12032" width="2.7109375" style="140"/>
    <col min="12033" max="12080" width="2.85546875" style="140" customWidth="1"/>
    <col min="12081" max="12288" width="2.7109375" style="140"/>
    <col min="12289" max="12336" width="2.85546875" style="140" customWidth="1"/>
    <col min="12337" max="12544" width="2.7109375" style="140"/>
    <col min="12545" max="12592" width="2.85546875" style="140" customWidth="1"/>
    <col min="12593" max="12800" width="2.7109375" style="140"/>
    <col min="12801" max="12848" width="2.85546875" style="140" customWidth="1"/>
    <col min="12849" max="13056" width="2.7109375" style="140"/>
    <col min="13057" max="13104" width="2.85546875" style="140" customWidth="1"/>
    <col min="13105" max="13312" width="2.7109375" style="140"/>
    <col min="13313" max="13360" width="2.85546875" style="140" customWidth="1"/>
    <col min="13361" max="13568" width="2.7109375" style="140"/>
    <col min="13569" max="13616" width="2.85546875" style="140" customWidth="1"/>
    <col min="13617" max="13824" width="2.7109375" style="140"/>
    <col min="13825" max="13872" width="2.85546875" style="140" customWidth="1"/>
    <col min="13873" max="14080" width="2.7109375" style="140"/>
    <col min="14081" max="14128" width="2.85546875" style="140" customWidth="1"/>
    <col min="14129" max="14336" width="2.7109375" style="140"/>
    <col min="14337" max="14384" width="2.85546875" style="140" customWidth="1"/>
    <col min="14385" max="14592" width="2.7109375" style="140"/>
    <col min="14593" max="14640" width="2.85546875" style="140" customWidth="1"/>
    <col min="14641" max="14848" width="2.7109375" style="140"/>
    <col min="14849" max="14896" width="2.85546875" style="140" customWidth="1"/>
    <col min="14897" max="15104" width="2.7109375" style="140"/>
    <col min="15105" max="15152" width="2.85546875" style="140" customWidth="1"/>
    <col min="15153" max="15360" width="2.7109375" style="140"/>
    <col min="15361" max="15408" width="2.85546875" style="140" customWidth="1"/>
    <col min="15409" max="15616" width="2.7109375" style="140"/>
    <col min="15617" max="15664" width="2.85546875" style="140" customWidth="1"/>
    <col min="15665" max="15872" width="2.7109375" style="140"/>
    <col min="15873" max="15920" width="2.85546875" style="140" customWidth="1"/>
    <col min="15921" max="16128" width="2.7109375" style="140"/>
    <col min="16129" max="16176" width="2.85546875" style="140" customWidth="1"/>
    <col min="16177" max="16384" width="2.7109375" style="140"/>
  </cols>
  <sheetData>
    <row r="1" spans="1:61" ht="15" customHeight="1">
      <c r="A1" s="1844"/>
      <c r="B1" s="1845"/>
      <c r="C1" s="1845"/>
      <c r="D1" s="1845"/>
      <c r="E1" s="1845"/>
      <c r="F1" s="1845"/>
      <c r="G1" s="1845"/>
      <c r="H1" s="1845"/>
      <c r="I1" s="1845"/>
      <c r="J1" s="1845"/>
      <c r="K1" s="1846"/>
      <c r="L1" s="1853" t="s">
        <v>28</v>
      </c>
      <c r="M1" s="1854"/>
      <c r="N1" s="1854"/>
      <c r="O1" s="1854"/>
      <c r="P1" s="1854"/>
      <c r="Q1" s="1854"/>
      <c r="R1" s="1854"/>
      <c r="S1" s="1854"/>
      <c r="T1" s="1854"/>
      <c r="U1" s="1854"/>
      <c r="V1" s="1854"/>
      <c r="W1" s="1854"/>
      <c r="X1" s="1854"/>
      <c r="Y1" s="1854"/>
      <c r="Z1" s="1854"/>
      <c r="AA1" s="1854"/>
      <c r="AB1" s="1854"/>
      <c r="AC1" s="1854"/>
      <c r="AD1" s="1854"/>
      <c r="AE1" s="1854"/>
      <c r="AF1" s="1854"/>
      <c r="AG1" s="1854"/>
      <c r="AH1" s="1854"/>
      <c r="AI1" s="1854"/>
      <c r="AJ1" s="1854"/>
      <c r="AK1" s="1854"/>
      <c r="AL1" s="1854"/>
      <c r="AM1" s="1854"/>
      <c r="AN1" s="1854"/>
      <c r="AO1" s="1854"/>
      <c r="AP1" s="1854"/>
      <c r="AQ1" s="1854"/>
      <c r="AR1" s="1854"/>
      <c r="AS1" s="1854"/>
      <c r="AT1" s="1854"/>
      <c r="AU1" s="1854"/>
      <c r="AV1" s="1855"/>
    </row>
    <row r="2" spans="1:61" ht="15" customHeight="1">
      <c r="A2" s="1847"/>
      <c r="B2" s="1848"/>
      <c r="C2" s="1848"/>
      <c r="D2" s="1848"/>
      <c r="E2" s="1848"/>
      <c r="F2" s="1848"/>
      <c r="G2" s="1848"/>
      <c r="H2" s="1848"/>
      <c r="I2" s="1848"/>
      <c r="J2" s="1848"/>
      <c r="K2" s="1849"/>
      <c r="L2" s="1856" t="s">
        <v>127</v>
      </c>
      <c r="M2" s="1857"/>
      <c r="N2" s="1857"/>
      <c r="O2" s="1857"/>
      <c r="P2" s="1857"/>
      <c r="Q2" s="1857"/>
      <c r="R2" s="1857"/>
      <c r="S2" s="1857"/>
      <c r="T2" s="1857"/>
      <c r="U2" s="1857"/>
      <c r="V2" s="1857"/>
      <c r="W2" s="1857"/>
      <c r="X2" s="1857"/>
      <c r="Y2" s="1857"/>
      <c r="Z2" s="1857"/>
      <c r="AA2" s="1857"/>
      <c r="AB2" s="1857"/>
      <c r="AC2" s="1857"/>
      <c r="AD2" s="1857"/>
      <c r="AE2" s="1857"/>
      <c r="AF2" s="1857"/>
      <c r="AG2" s="1857"/>
      <c r="AH2" s="1857"/>
      <c r="AI2" s="1857"/>
      <c r="AJ2" s="1857"/>
      <c r="AK2" s="1857"/>
      <c r="AL2" s="1857"/>
      <c r="AM2" s="1857"/>
      <c r="AN2" s="1857"/>
      <c r="AO2" s="1857"/>
      <c r="AP2" s="1857"/>
      <c r="AQ2" s="1857"/>
      <c r="AR2" s="1857"/>
      <c r="AS2" s="1857"/>
      <c r="AT2" s="1857"/>
      <c r="AU2" s="1857"/>
      <c r="AV2" s="1858"/>
    </row>
    <row r="3" spans="1:61" ht="15" customHeight="1">
      <c r="A3" s="1847"/>
      <c r="B3" s="1848"/>
      <c r="C3" s="1848"/>
      <c r="D3" s="1848"/>
      <c r="E3" s="1848"/>
      <c r="F3" s="1848"/>
      <c r="G3" s="1848"/>
      <c r="H3" s="1848"/>
      <c r="I3" s="1848"/>
      <c r="J3" s="1848"/>
      <c r="K3" s="1849"/>
      <c r="L3" s="1859" t="s">
        <v>461</v>
      </c>
      <c r="M3" s="1860"/>
      <c r="N3" s="1860"/>
      <c r="O3" s="1860"/>
      <c r="P3" s="1860"/>
      <c r="Q3" s="1860"/>
      <c r="R3" s="1860"/>
      <c r="S3" s="1860"/>
      <c r="T3" s="1860"/>
      <c r="U3" s="1860"/>
      <c r="V3" s="1860"/>
      <c r="W3" s="1860"/>
      <c r="X3" s="1860"/>
      <c r="Y3" s="1860"/>
      <c r="Z3" s="1860"/>
      <c r="AA3" s="1860"/>
      <c r="AB3" s="1860"/>
      <c r="AC3" s="1860"/>
      <c r="AD3" s="1860"/>
      <c r="AE3" s="1860"/>
      <c r="AF3" s="1860"/>
      <c r="AG3" s="1860"/>
      <c r="AH3" s="1860"/>
      <c r="AI3" s="1860"/>
      <c r="AJ3" s="1860"/>
      <c r="AK3" s="1860"/>
      <c r="AL3" s="1860"/>
      <c r="AM3" s="1860"/>
      <c r="AN3" s="1860"/>
      <c r="AO3" s="1860"/>
      <c r="AP3" s="1860"/>
      <c r="AQ3" s="1860"/>
      <c r="AR3" s="1860"/>
      <c r="AS3" s="1860"/>
      <c r="AT3" s="1860"/>
      <c r="AU3" s="1860"/>
      <c r="AV3" s="1861"/>
    </row>
    <row r="4" spans="1:61" ht="15" customHeight="1">
      <c r="A4" s="1847"/>
      <c r="B4" s="1848"/>
      <c r="C4" s="1848"/>
      <c r="D4" s="1848"/>
      <c r="E4" s="1848"/>
      <c r="F4" s="1848"/>
      <c r="G4" s="1848"/>
      <c r="H4" s="1848"/>
      <c r="I4" s="1848"/>
      <c r="J4" s="1848"/>
      <c r="K4" s="1849"/>
      <c r="L4" s="1862" t="s">
        <v>128</v>
      </c>
      <c r="M4" s="1863"/>
      <c r="N4" s="1863"/>
      <c r="O4" s="1863"/>
      <c r="P4" s="1863"/>
      <c r="Q4" s="1863"/>
      <c r="R4" s="1863"/>
      <c r="S4" s="1863"/>
      <c r="T4" s="1863"/>
      <c r="U4" s="1863"/>
      <c r="V4" s="1863"/>
      <c r="W4" s="1863"/>
      <c r="X4" s="1863"/>
      <c r="Y4" s="1863"/>
      <c r="Z4" s="1863"/>
      <c r="AA4" s="1863"/>
      <c r="AB4" s="1863"/>
      <c r="AC4" s="1863"/>
      <c r="AD4" s="1864"/>
      <c r="AE4" s="1862" t="s">
        <v>427</v>
      </c>
      <c r="AF4" s="1863"/>
      <c r="AG4" s="1863"/>
      <c r="AH4" s="1863"/>
      <c r="AI4" s="1863"/>
      <c r="AJ4" s="1863"/>
      <c r="AK4" s="1863"/>
      <c r="AL4" s="1863"/>
      <c r="AM4" s="1863"/>
      <c r="AN4" s="1863"/>
      <c r="AO4" s="1863"/>
      <c r="AP4" s="1863"/>
      <c r="AQ4" s="1863"/>
      <c r="AR4" s="1863"/>
      <c r="AS4" s="1863"/>
      <c r="AT4" s="1863"/>
      <c r="AU4" s="1863"/>
      <c r="AV4" s="1865"/>
    </row>
    <row r="5" spans="1:61" ht="15" customHeight="1">
      <c r="A5" s="1850"/>
      <c r="B5" s="1851"/>
      <c r="C5" s="1851"/>
      <c r="D5" s="1851"/>
      <c r="E5" s="1851"/>
      <c r="F5" s="1851"/>
      <c r="G5" s="1851"/>
      <c r="H5" s="1851"/>
      <c r="I5" s="1851"/>
      <c r="J5" s="1851"/>
      <c r="K5" s="1852"/>
      <c r="L5" s="1866" t="s">
        <v>466</v>
      </c>
      <c r="M5" s="1867"/>
      <c r="N5" s="1867"/>
      <c r="O5" s="1867"/>
      <c r="P5" s="1867"/>
      <c r="Q5" s="1867"/>
      <c r="R5" s="1867"/>
      <c r="S5" s="1867"/>
      <c r="T5" s="1867"/>
      <c r="U5" s="1867"/>
      <c r="V5" s="1867"/>
      <c r="W5" s="1867"/>
      <c r="X5" s="1867"/>
      <c r="Y5" s="1867"/>
      <c r="Z5" s="1867"/>
      <c r="AA5" s="1867"/>
      <c r="AB5" s="1867"/>
      <c r="AC5" s="1867"/>
      <c r="AD5" s="1867"/>
      <c r="AE5" s="1867"/>
      <c r="AF5" s="1867"/>
      <c r="AG5" s="1867"/>
      <c r="AH5" s="1867"/>
      <c r="AI5" s="1867"/>
      <c r="AJ5" s="1867"/>
      <c r="AK5" s="1867"/>
      <c r="AL5" s="1867"/>
      <c r="AM5" s="1867"/>
      <c r="AN5" s="1867"/>
      <c r="AO5" s="1867"/>
      <c r="AP5" s="1867"/>
      <c r="AQ5" s="1867"/>
      <c r="AR5" s="1867"/>
      <c r="AS5" s="1867"/>
      <c r="AT5" s="1867"/>
      <c r="AU5" s="1867"/>
      <c r="AV5" s="1868"/>
    </row>
    <row r="6" spans="1:61" ht="18" customHeight="1">
      <c r="A6" s="1602" t="s">
        <v>5</v>
      </c>
      <c r="B6" s="1603"/>
      <c r="C6" s="1603"/>
      <c r="D6" s="1603"/>
      <c r="E6" s="1603"/>
      <c r="F6" s="1872" t="e">
        <f>IF(#REF!="","",+#REF!)</f>
        <v>#REF!</v>
      </c>
      <c r="G6" s="1872"/>
      <c r="H6" s="1872"/>
      <c r="I6" s="1872"/>
      <c r="J6" s="1872"/>
      <c r="K6" s="1872"/>
      <c r="L6" s="1872"/>
      <c r="M6" s="1872"/>
      <c r="N6" s="1872"/>
      <c r="O6" s="1872"/>
      <c r="P6" s="1872"/>
      <c r="Q6" s="1872"/>
      <c r="R6" s="1872"/>
      <c r="S6" s="1872"/>
      <c r="T6" s="1872"/>
      <c r="U6" s="1872"/>
      <c r="V6" s="1872"/>
      <c r="W6" s="1872"/>
      <c r="X6" s="1872"/>
      <c r="Y6" s="1872"/>
      <c r="Z6" s="1872"/>
      <c r="AA6" s="1872"/>
      <c r="AB6" s="1872"/>
      <c r="AC6" s="1872"/>
      <c r="AD6" s="1236" t="s">
        <v>229</v>
      </c>
      <c r="AE6" s="1236"/>
      <c r="AF6" s="1236"/>
      <c r="AG6" s="1236"/>
      <c r="AH6" s="1236"/>
      <c r="AI6" s="1236"/>
      <c r="AJ6" s="1236"/>
      <c r="AK6" s="1236"/>
      <c r="AL6" s="1236"/>
      <c r="AM6" s="999"/>
      <c r="AN6" s="999"/>
      <c r="AO6" s="999"/>
      <c r="AP6" s="999"/>
      <c r="AQ6" s="999"/>
      <c r="AR6" s="999"/>
      <c r="AS6" s="999"/>
      <c r="AT6" s="999"/>
      <c r="AU6" s="999"/>
      <c r="AV6" s="1000"/>
    </row>
    <row r="7" spans="1:61" ht="18" customHeight="1">
      <c r="A7" s="1591" t="s">
        <v>16</v>
      </c>
      <c r="B7" s="1592"/>
      <c r="C7" s="1592"/>
      <c r="D7" s="1592"/>
      <c r="E7" s="1592"/>
      <c r="F7" s="1838" t="e">
        <f>IF(#REF!="","",+#REF!)</f>
        <v>#REF!</v>
      </c>
      <c r="G7" s="1838"/>
      <c r="H7" s="1838"/>
      <c r="I7" s="1838"/>
      <c r="J7" s="1838"/>
      <c r="K7" s="1838"/>
      <c r="L7" s="1838"/>
      <c r="M7" s="1838"/>
      <c r="N7" s="1838"/>
      <c r="O7" s="1838"/>
      <c r="P7" s="1869" t="s">
        <v>17</v>
      </c>
      <c r="Q7" s="1869"/>
      <c r="R7" s="1869"/>
      <c r="S7" s="1869"/>
      <c r="T7" s="1869"/>
      <c r="U7" s="1838" t="e">
        <f>IF(#REF!="","",#REF!)</f>
        <v>#REF!</v>
      </c>
      <c r="V7" s="1838"/>
      <c r="W7" s="1838"/>
      <c r="X7" s="1838"/>
      <c r="Y7" s="1838"/>
      <c r="Z7" s="1838"/>
      <c r="AA7" s="1838"/>
      <c r="AB7" s="1838"/>
      <c r="AC7" s="1838"/>
      <c r="AD7" s="1592" t="s">
        <v>31</v>
      </c>
      <c r="AE7" s="1592"/>
      <c r="AF7" s="1592"/>
      <c r="AG7" s="1592"/>
      <c r="AH7" s="1592"/>
      <c r="AI7" s="1592"/>
      <c r="AJ7" s="1592"/>
      <c r="AK7" s="1592"/>
      <c r="AL7" s="1592"/>
      <c r="AM7" s="1873" t="e">
        <f>IF(#REF!="","",+#REF!)</f>
        <v>#REF!</v>
      </c>
      <c r="AN7" s="1873"/>
      <c r="AO7" s="1873"/>
      <c r="AP7" s="1873"/>
      <c r="AQ7" s="1873"/>
      <c r="AR7" s="1873"/>
      <c r="AS7" s="1873"/>
      <c r="AT7" s="1873"/>
      <c r="AU7" s="1873"/>
      <c r="AV7" s="1874"/>
    </row>
    <row r="8" spans="1:61" ht="18" customHeight="1">
      <c r="A8" s="1591" t="s">
        <v>323</v>
      </c>
      <c r="B8" s="1592"/>
      <c r="C8" s="1592"/>
      <c r="D8" s="1592"/>
      <c r="E8" s="1592"/>
      <c r="F8" s="1838" t="e">
        <f>IF(#REF!="","",+#REF!)</f>
        <v>#REF!</v>
      </c>
      <c r="G8" s="1838"/>
      <c r="H8" s="1838"/>
      <c r="I8" s="1838"/>
      <c r="J8" s="1838"/>
      <c r="K8" s="1838"/>
      <c r="L8" s="1838"/>
      <c r="M8" s="1838"/>
      <c r="N8" s="1838"/>
      <c r="O8" s="1838"/>
      <c r="P8" s="1612" t="s">
        <v>18</v>
      </c>
      <c r="Q8" s="1612"/>
      <c r="R8" s="1612"/>
      <c r="S8" s="1612"/>
      <c r="T8" s="1612"/>
      <c r="U8" s="1843" t="e">
        <f>IF(#REF!="","",#REF!)</f>
        <v>#REF!</v>
      </c>
      <c r="V8" s="1843"/>
      <c r="W8" s="1843"/>
      <c r="X8" s="1843"/>
      <c r="Y8" s="1843"/>
      <c r="Z8" s="1843"/>
      <c r="AA8" s="1843"/>
      <c r="AB8" s="1843"/>
      <c r="AC8" s="1843"/>
      <c r="AD8" s="1592" t="s">
        <v>266</v>
      </c>
      <c r="AE8" s="1592"/>
      <c r="AF8" s="1592"/>
      <c r="AG8" s="1592"/>
      <c r="AH8" s="1592"/>
      <c r="AI8" s="1592"/>
      <c r="AJ8" s="1592"/>
      <c r="AK8" s="1592"/>
      <c r="AL8" s="1592"/>
      <c r="AM8" s="1745" t="e">
        <f>IF(#REF!="","",+#REF!)</f>
        <v>#REF!</v>
      </c>
      <c r="AN8" s="1745"/>
      <c r="AO8" s="1745"/>
      <c r="AP8" s="1745"/>
      <c r="AQ8" s="1745"/>
      <c r="AR8" s="1745"/>
      <c r="AS8" s="1745"/>
      <c r="AT8" s="1745"/>
      <c r="AU8" s="1745"/>
      <c r="AV8" s="1746"/>
    </row>
    <row r="9" spans="1:61" ht="18" customHeight="1">
      <c r="A9" s="1870" t="s">
        <v>6</v>
      </c>
      <c r="B9" s="1871"/>
      <c r="C9" s="1871"/>
      <c r="D9" s="1871"/>
      <c r="E9" s="1871"/>
      <c r="F9" s="1839" t="e">
        <f>IF(#REF!="","",+#REF!)</f>
        <v>#REF!</v>
      </c>
      <c r="G9" s="1839"/>
      <c r="H9" s="1839"/>
      <c r="I9" s="1839"/>
      <c r="J9" s="1839"/>
      <c r="K9" s="1839"/>
      <c r="L9" s="1839"/>
      <c r="M9" s="1839"/>
      <c r="N9" s="1839"/>
      <c r="O9" s="1839"/>
      <c r="P9" s="1839"/>
      <c r="Q9" s="1839"/>
      <c r="R9" s="1839"/>
      <c r="S9" s="1839"/>
      <c r="T9" s="1839"/>
      <c r="U9" s="1839"/>
      <c r="V9" s="1839"/>
      <c r="W9" s="1839"/>
      <c r="X9" s="1839"/>
      <c r="Y9" s="1839"/>
      <c r="Z9" s="1839"/>
      <c r="AA9" s="1839"/>
      <c r="AB9" s="1839"/>
      <c r="AC9" s="1839"/>
      <c r="AD9" s="1840" t="s">
        <v>462</v>
      </c>
      <c r="AE9" s="1840"/>
      <c r="AF9" s="1840"/>
      <c r="AG9" s="1840"/>
      <c r="AH9" s="1840"/>
      <c r="AI9" s="1840"/>
      <c r="AJ9" s="1840"/>
      <c r="AK9" s="1840"/>
      <c r="AL9" s="1840"/>
      <c r="AM9" s="1841" t="e">
        <f>IF(#REF!="","",+#REF!)</f>
        <v>#REF!</v>
      </c>
      <c r="AN9" s="1841"/>
      <c r="AO9" s="1841"/>
      <c r="AP9" s="1841"/>
      <c r="AQ9" s="1841"/>
      <c r="AR9" s="1841"/>
      <c r="AS9" s="1841"/>
      <c r="AT9" s="1841"/>
      <c r="AU9" s="1841"/>
      <c r="AV9" s="1842"/>
      <c r="BD9" s="164"/>
      <c r="BE9" s="164"/>
      <c r="BF9" s="164"/>
      <c r="BG9" s="164"/>
      <c r="BH9" s="164"/>
      <c r="BI9" s="164"/>
    </row>
    <row r="10" spans="1:61" ht="20.100000000000001" customHeight="1">
      <c r="A10" s="1810" t="s">
        <v>287</v>
      </c>
      <c r="B10" s="1811"/>
      <c r="C10" s="1811"/>
      <c r="D10" s="1811"/>
      <c r="E10" s="1811"/>
      <c r="F10" s="1811"/>
      <c r="G10" s="1811"/>
      <c r="H10" s="1811"/>
      <c r="I10" s="1811"/>
      <c r="J10" s="1811"/>
      <c r="K10" s="1811"/>
      <c r="L10" s="1811"/>
      <c r="M10" s="1811"/>
      <c r="N10" s="1811"/>
      <c r="O10" s="1811"/>
      <c r="P10" s="1811"/>
      <c r="Q10" s="1811"/>
      <c r="R10" s="1811"/>
      <c r="S10" s="1811"/>
      <c r="T10" s="1811"/>
      <c r="U10" s="1811"/>
      <c r="V10" s="1811"/>
      <c r="W10" s="1811"/>
      <c r="X10" s="1811"/>
      <c r="Y10" s="1811"/>
      <c r="Z10" s="1811"/>
      <c r="AA10" s="1811"/>
      <c r="AB10" s="1811"/>
      <c r="AC10" s="1811"/>
      <c r="AD10" s="1811"/>
      <c r="AE10" s="1811"/>
      <c r="AF10" s="1811"/>
      <c r="AG10" s="1811"/>
      <c r="AH10" s="1811"/>
      <c r="AI10" s="1811"/>
      <c r="AJ10" s="1811"/>
      <c r="AK10" s="1811"/>
      <c r="AL10" s="1811"/>
      <c r="AM10" s="1811"/>
      <c r="AN10" s="1811"/>
      <c r="AO10" s="1811"/>
      <c r="AP10" s="1811"/>
      <c r="AQ10" s="1811"/>
      <c r="AR10" s="1811"/>
      <c r="AS10" s="1811"/>
      <c r="AT10" s="1811"/>
      <c r="AU10" s="1811"/>
      <c r="AV10" s="1812"/>
    </row>
    <row r="11" spans="1:61" s="141" customFormat="1" ht="18" customHeight="1">
      <c r="A11" s="1813" t="s">
        <v>120</v>
      </c>
      <c r="B11" s="1814"/>
      <c r="C11" s="1814"/>
      <c r="D11" s="1814"/>
      <c r="E11" s="1814"/>
      <c r="F11" s="1814"/>
      <c r="G11" s="1814"/>
      <c r="H11" s="1814"/>
      <c r="I11" s="1814"/>
      <c r="J11" s="1814"/>
      <c r="K11" s="1814"/>
      <c r="L11" s="1814"/>
      <c r="M11" s="1814"/>
      <c r="N11" s="1814"/>
      <c r="O11" s="1814"/>
      <c r="P11" s="1814"/>
      <c r="Q11" s="1814"/>
      <c r="R11" s="1814"/>
      <c r="S11" s="1814"/>
      <c r="T11" s="1814"/>
      <c r="U11" s="1814"/>
      <c r="V11" s="1814"/>
      <c r="W11" s="1814"/>
      <c r="X11" s="1814"/>
      <c r="Y11" s="1814"/>
      <c r="Z11" s="1814"/>
      <c r="AA11" s="1814"/>
      <c r="AB11" s="1556" t="s">
        <v>44</v>
      </c>
      <c r="AC11" s="1556"/>
      <c r="AD11" s="1556"/>
      <c r="AE11" s="1807" t="s">
        <v>121</v>
      </c>
      <c r="AF11" s="1807"/>
      <c r="AG11" s="1807"/>
      <c r="AH11" s="1807"/>
      <c r="AI11" s="1807"/>
      <c r="AJ11" s="1815"/>
      <c r="AK11" s="1815"/>
      <c r="AL11" s="1815"/>
      <c r="AM11" s="1815"/>
      <c r="AN11" s="1815"/>
      <c r="AO11" s="1815"/>
      <c r="AP11" s="1815"/>
      <c r="AQ11" s="1807" t="s">
        <v>82</v>
      </c>
      <c r="AR11" s="1807"/>
      <c r="AS11" s="1807"/>
      <c r="AT11" s="563"/>
      <c r="AU11" s="563"/>
      <c r="AV11" s="383"/>
    </row>
    <row r="12" spans="1:61" ht="18" customHeight="1">
      <c r="A12" s="1816" t="s">
        <v>122</v>
      </c>
      <c r="B12" s="1817"/>
      <c r="C12" s="1817"/>
      <c r="D12" s="1817"/>
      <c r="E12" s="1817"/>
      <c r="F12" s="1817"/>
      <c r="G12" s="1817"/>
      <c r="H12" s="1817"/>
      <c r="I12" s="1817"/>
      <c r="J12" s="1817"/>
      <c r="K12" s="1817"/>
      <c r="L12" s="1817"/>
      <c r="M12" s="1817"/>
      <c r="N12" s="1817"/>
      <c r="O12" s="1817"/>
      <c r="P12" s="1817"/>
      <c r="Q12" s="1817"/>
      <c r="R12" s="1817"/>
      <c r="S12" s="1817"/>
      <c r="T12" s="1817"/>
      <c r="U12" s="1817"/>
      <c r="V12" s="1817"/>
      <c r="W12" s="1817"/>
      <c r="X12" s="1817"/>
      <c r="Y12" s="1817"/>
      <c r="Z12" s="1817"/>
      <c r="AA12" s="1817"/>
      <c r="AB12" s="1806" t="s">
        <v>123</v>
      </c>
      <c r="AC12" s="1806"/>
      <c r="AD12" s="1806"/>
      <c r="AE12" s="1781" t="s">
        <v>121</v>
      </c>
      <c r="AF12" s="1781"/>
      <c r="AG12" s="1781"/>
      <c r="AH12" s="1781"/>
      <c r="AI12" s="1781"/>
      <c r="AJ12" s="1815"/>
      <c r="AK12" s="1815"/>
      <c r="AL12" s="1815"/>
      <c r="AM12" s="1815"/>
      <c r="AN12" s="1815"/>
      <c r="AO12" s="1815"/>
      <c r="AP12" s="1815"/>
      <c r="AQ12" s="1781" t="s">
        <v>82</v>
      </c>
      <c r="AR12" s="1781"/>
      <c r="AS12" s="1781"/>
      <c r="AT12" s="381"/>
      <c r="AU12" s="381"/>
      <c r="AV12" s="384"/>
    </row>
    <row r="13" spans="1:61" s="147" customFormat="1" ht="18" customHeight="1">
      <c r="A13" s="1816" t="s">
        <v>125</v>
      </c>
      <c r="B13" s="1817"/>
      <c r="C13" s="1817"/>
      <c r="D13" s="1817"/>
      <c r="E13" s="1817"/>
      <c r="F13" s="1817"/>
      <c r="G13" s="1817"/>
      <c r="H13" s="1817"/>
      <c r="I13" s="1817"/>
      <c r="J13" s="1817"/>
      <c r="K13" s="1817"/>
      <c r="L13" s="1817"/>
      <c r="M13" s="1817"/>
      <c r="N13" s="1817"/>
      <c r="O13" s="1817"/>
      <c r="P13" s="1817"/>
      <c r="Q13" s="1817"/>
      <c r="R13" s="1817"/>
      <c r="S13" s="1817"/>
      <c r="T13" s="1817"/>
      <c r="U13" s="1817"/>
      <c r="V13" s="1817"/>
      <c r="W13" s="1817"/>
      <c r="X13" s="1817"/>
      <c r="Y13" s="1817"/>
      <c r="Z13" s="1817"/>
      <c r="AA13" s="1817"/>
      <c r="AB13" s="1806" t="s">
        <v>46</v>
      </c>
      <c r="AC13" s="1806"/>
      <c r="AD13" s="1806"/>
      <c r="AE13" s="1781" t="s">
        <v>121</v>
      </c>
      <c r="AF13" s="1781"/>
      <c r="AG13" s="1781"/>
      <c r="AH13" s="1781"/>
      <c r="AI13" s="1781"/>
      <c r="AJ13" s="1815"/>
      <c r="AK13" s="1815"/>
      <c r="AL13" s="1815"/>
      <c r="AM13" s="1815"/>
      <c r="AN13" s="1815"/>
      <c r="AO13" s="1815"/>
      <c r="AP13" s="1815"/>
      <c r="AQ13" s="1781" t="s">
        <v>82</v>
      </c>
      <c r="AR13" s="1781"/>
      <c r="AS13" s="1781"/>
      <c r="AT13" s="381"/>
      <c r="AU13" s="381"/>
      <c r="AV13" s="384"/>
    </row>
    <row r="14" spans="1:61" s="147" customFormat="1" ht="18" customHeight="1">
      <c r="A14" s="1816" t="s">
        <v>124</v>
      </c>
      <c r="B14" s="1817"/>
      <c r="C14" s="1817"/>
      <c r="D14" s="1817"/>
      <c r="E14" s="1817"/>
      <c r="F14" s="1817"/>
      <c r="G14" s="1817"/>
      <c r="H14" s="1817"/>
      <c r="I14" s="1817"/>
      <c r="J14" s="1817"/>
      <c r="K14" s="1817"/>
      <c r="L14" s="1817"/>
      <c r="M14" s="1817"/>
      <c r="N14" s="1817"/>
      <c r="O14" s="1817"/>
      <c r="P14" s="1817"/>
      <c r="Q14" s="1817"/>
      <c r="R14" s="1817"/>
      <c r="S14" s="1817"/>
      <c r="T14" s="1817"/>
      <c r="U14" s="1817"/>
      <c r="V14" s="1817"/>
      <c r="W14" s="1817"/>
      <c r="X14" s="1817"/>
      <c r="Y14" s="1817"/>
      <c r="Z14" s="1817"/>
      <c r="AA14" s="1817"/>
      <c r="AB14" s="1806" t="s">
        <v>45</v>
      </c>
      <c r="AC14" s="1806"/>
      <c r="AD14" s="1806"/>
      <c r="AE14" s="1781" t="s">
        <v>121</v>
      </c>
      <c r="AF14" s="1781"/>
      <c r="AG14" s="1781"/>
      <c r="AH14" s="1781"/>
      <c r="AI14" s="1781"/>
      <c r="AJ14" s="1815"/>
      <c r="AK14" s="1815"/>
      <c r="AL14" s="1815"/>
      <c r="AM14" s="1815"/>
      <c r="AN14" s="1815"/>
      <c r="AO14" s="1815"/>
      <c r="AP14" s="1815"/>
      <c r="AQ14" s="1781" t="s">
        <v>82</v>
      </c>
      <c r="AR14" s="1781"/>
      <c r="AS14" s="1781"/>
      <c r="AT14" s="381"/>
      <c r="AU14" s="381"/>
      <c r="AV14" s="384"/>
    </row>
    <row r="15" spans="1:61" s="147" customFormat="1" ht="19.5" customHeight="1">
      <c r="A15" s="5"/>
      <c r="B15" s="380"/>
      <c r="C15" s="563"/>
      <c r="D15" s="563"/>
      <c r="E15" s="563"/>
      <c r="F15" s="563"/>
      <c r="G15" s="563"/>
      <c r="H15" s="563"/>
      <c r="I15" s="563"/>
      <c r="J15" s="563"/>
      <c r="K15" s="563"/>
      <c r="L15" s="563"/>
      <c r="M15" s="563"/>
      <c r="N15" s="563"/>
      <c r="O15" s="563"/>
      <c r="P15" s="563"/>
      <c r="Q15" s="563"/>
      <c r="R15" s="563"/>
      <c r="S15" s="563"/>
      <c r="T15" s="563"/>
      <c r="U15" s="563"/>
      <c r="V15" s="381"/>
      <c r="W15" s="381"/>
      <c r="X15" s="381"/>
      <c r="Y15" s="381"/>
      <c r="Z15" s="381"/>
      <c r="AA15" s="381"/>
      <c r="AB15" s="381"/>
      <c r="AC15" s="563"/>
      <c r="AD15" s="563"/>
      <c r="AE15" s="563"/>
      <c r="AF15" s="563"/>
      <c r="AG15" s="563"/>
      <c r="AH15" s="563"/>
      <c r="AI15" s="563"/>
      <c r="AJ15" s="563"/>
      <c r="AK15" s="563"/>
      <c r="AL15" s="563"/>
      <c r="AM15" s="563"/>
      <c r="AN15" s="563"/>
      <c r="AO15" s="563"/>
      <c r="AP15" s="563"/>
      <c r="AQ15" s="563"/>
      <c r="AR15" s="563"/>
      <c r="AS15" s="563"/>
      <c r="AT15" s="563"/>
      <c r="AU15" s="563"/>
      <c r="AV15" s="562"/>
    </row>
    <row r="16" spans="1:61" s="147" customFormat="1" ht="15.75" customHeight="1">
      <c r="A16" s="5"/>
      <c r="B16" s="381"/>
      <c r="C16" s="461"/>
      <c r="D16" s="382"/>
      <c r="E16" s="382"/>
      <c r="F16" s="382"/>
      <c r="G16" s="382"/>
      <c r="H16" s="382"/>
      <c r="I16" s="382"/>
      <c r="J16" s="1558" t="s">
        <v>129</v>
      </c>
      <c r="K16" s="1558"/>
      <c r="L16" s="1558"/>
      <c r="M16" s="1558"/>
      <c r="N16" s="1558"/>
      <c r="O16" s="1558"/>
      <c r="P16" s="1558"/>
      <c r="Q16" s="1558"/>
      <c r="R16" s="1558"/>
      <c r="S16" s="1558"/>
      <c r="T16" s="1558"/>
      <c r="U16" s="1558"/>
      <c r="V16" s="1809" t="s">
        <v>276</v>
      </c>
      <c r="W16" s="1809"/>
      <c r="X16" s="1809"/>
      <c r="Y16" s="1809"/>
      <c r="Z16" s="1809"/>
      <c r="AA16" s="1809"/>
      <c r="AB16" s="1809"/>
      <c r="AC16" s="1809"/>
      <c r="AD16" s="1782" t="str">
        <f>IF(AJ11=""," ",0.9975*AJ11/(AJ14+AJ12-AJ13))</f>
        <v xml:space="preserve"> </v>
      </c>
      <c r="AE16" s="1783"/>
      <c r="AF16" s="1783"/>
      <c r="AG16" s="1784"/>
      <c r="AH16" s="461"/>
      <c r="AI16" s="461"/>
      <c r="AJ16" s="461"/>
      <c r="AK16" s="385"/>
      <c r="AL16" s="386"/>
      <c r="AM16" s="386"/>
      <c r="AN16" s="386"/>
      <c r="AO16" s="1837"/>
      <c r="AP16" s="1837"/>
      <c r="AQ16" s="1837"/>
      <c r="AR16" s="1837"/>
      <c r="AS16" s="1808"/>
      <c r="AT16" s="1808"/>
      <c r="AU16" s="1808"/>
      <c r="AV16" s="384"/>
    </row>
    <row r="17" spans="1:48" s="147" customFormat="1" ht="11.25" customHeight="1">
      <c r="A17" s="5"/>
      <c r="B17" s="381"/>
      <c r="C17" s="382"/>
      <c r="D17" s="382"/>
      <c r="E17" s="382"/>
      <c r="F17" s="382"/>
      <c r="G17" s="382"/>
      <c r="H17" s="382"/>
      <c r="I17" s="382"/>
      <c r="J17" s="1558"/>
      <c r="K17" s="1558"/>
      <c r="L17" s="1558"/>
      <c r="M17" s="1558"/>
      <c r="N17" s="1558"/>
      <c r="O17" s="1558"/>
      <c r="P17" s="1558"/>
      <c r="Q17" s="1558"/>
      <c r="R17" s="1558"/>
      <c r="S17" s="1558"/>
      <c r="T17" s="1558"/>
      <c r="U17" s="1558"/>
      <c r="V17" s="1809"/>
      <c r="W17" s="1809"/>
      <c r="X17" s="1809"/>
      <c r="Y17" s="1809"/>
      <c r="Z17" s="1809"/>
      <c r="AA17" s="1809"/>
      <c r="AB17" s="1809"/>
      <c r="AC17" s="1809"/>
      <c r="AD17" s="1785"/>
      <c r="AE17" s="1786"/>
      <c r="AF17" s="1786"/>
      <c r="AG17" s="1787"/>
      <c r="AH17" s="461"/>
      <c r="AI17" s="461"/>
      <c r="AJ17" s="461"/>
      <c r="AK17" s="385"/>
      <c r="AL17" s="387"/>
      <c r="AM17" s="387"/>
      <c r="AN17" s="387"/>
      <c r="AO17" s="1837"/>
      <c r="AP17" s="1837"/>
      <c r="AQ17" s="1837"/>
      <c r="AR17" s="1837"/>
      <c r="AS17" s="1808"/>
      <c r="AT17" s="1808"/>
      <c r="AU17" s="1808"/>
      <c r="AV17" s="384"/>
    </row>
    <row r="18" spans="1:48" s="147" customFormat="1" ht="15.75" customHeight="1">
      <c r="A18" s="5"/>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381"/>
      <c r="AI18" s="381"/>
      <c r="AJ18" s="381"/>
      <c r="AK18" s="381"/>
      <c r="AL18" s="381"/>
      <c r="AM18" s="381"/>
      <c r="AN18" s="381"/>
      <c r="AO18" s="381"/>
      <c r="AP18" s="381"/>
      <c r="AQ18" s="381"/>
      <c r="AR18" s="381"/>
      <c r="AS18" s="381"/>
      <c r="AT18" s="381"/>
      <c r="AU18" s="381"/>
      <c r="AV18" s="384"/>
    </row>
    <row r="19" spans="1:48" s="147" customFormat="1" ht="20.100000000000001" customHeight="1">
      <c r="A19" s="1774" t="s">
        <v>126</v>
      </c>
      <c r="B19" s="1775"/>
      <c r="C19" s="1775"/>
      <c r="D19" s="1775"/>
      <c r="E19" s="1775"/>
      <c r="F19" s="1775"/>
      <c r="G19" s="1775"/>
      <c r="H19" s="1775"/>
      <c r="I19" s="1775"/>
      <c r="J19" s="1775"/>
      <c r="K19" s="1775"/>
      <c r="L19" s="1775"/>
      <c r="M19" s="1775"/>
      <c r="N19" s="1775"/>
      <c r="O19" s="1775"/>
      <c r="P19" s="1775"/>
      <c r="Q19" s="1776"/>
      <c r="R19" s="1774" t="s">
        <v>44</v>
      </c>
      <c r="S19" s="1775"/>
      <c r="T19" s="1775"/>
      <c r="U19" s="1775"/>
      <c r="V19" s="1775"/>
      <c r="W19" s="1774" t="s">
        <v>45</v>
      </c>
      <c r="X19" s="1775"/>
      <c r="Y19" s="1775"/>
      <c r="Z19" s="1775"/>
      <c r="AA19" s="1775"/>
      <c r="AB19" s="1775"/>
      <c r="AC19" s="1775"/>
      <c r="AD19" s="1775"/>
      <c r="AE19" s="1775"/>
      <c r="AF19" s="1775"/>
      <c r="AG19" s="1775"/>
      <c r="AH19" s="1775"/>
      <c r="AI19" s="1775"/>
      <c r="AJ19" s="1775"/>
      <c r="AK19" s="1775"/>
      <c r="AL19" s="1775"/>
      <c r="AM19" s="1775"/>
      <c r="AN19" s="1775"/>
      <c r="AO19" s="1775"/>
      <c r="AP19" s="1775"/>
      <c r="AQ19" s="1776"/>
      <c r="AR19" s="1775" t="s">
        <v>46</v>
      </c>
      <c r="AS19" s="1775"/>
      <c r="AT19" s="1775"/>
      <c r="AU19" s="1775"/>
      <c r="AV19" s="1776"/>
    </row>
    <row r="20" spans="1:48" s="147" customFormat="1" ht="20.100000000000001" customHeight="1">
      <c r="A20" s="1833"/>
      <c r="B20" s="1777"/>
      <c r="C20" s="1777"/>
      <c r="D20" s="1777"/>
      <c r="E20" s="1777"/>
      <c r="F20" s="1777"/>
      <c r="G20" s="1777"/>
      <c r="H20" s="1777"/>
      <c r="I20" s="1777"/>
      <c r="J20" s="1777"/>
      <c r="K20" s="1777"/>
      <c r="L20" s="1777"/>
      <c r="M20" s="1777"/>
      <c r="N20" s="1777"/>
      <c r="O20" s="1777"/>
      <c r="P20" s="1777"/>
      <c r="Q20" s="1778"/>
      <c r="R20" s="1833"/>
      <c r="S20" s="1777"/>
      <c r="T20" s="1777"/>
      <c r="U20" s="1777"/>
      <c r="V20" s="1777"/>
      <c r="W20" s="1833" t="s">
        <v>90</v>
      </c>
      <c r="X20" s="1777"/>
      <c r="Y20" s="1777"/>
      <c r="Z20" s="1777"/>
      <c r="AA20" s="1777"/>
      <c r="AB20" s="1777"/>
      <c r="AC20" s="1777"/>
      <c r="AD20" s="1777"/>
      <c r="AE20" s="1777"/>
      <c r="AF20" s="1777"/>
      <c r="AG20" s="1777"/>
      <c r="AH20" s="1777"/>
      <c r="AI20" s="1777"/>
      <c r="AJ20" s="1777"/>
      <c r="AK20" s="1777"/>
      <c r="AL20" s="1777"/>
      <c r="AM20" s="1777"/>
      <c r="AN20" s="1777"/>
      <c r="AO20" s="1777"/>
      <c r="AP20" s="1777"/>
      <c r="AQ20" s="1778"/>
      <c r="AR20" s="1777"/>
      <c r="AS20" s="1777"/>
      <c r="AT20" s="1777"/>
      <c r="AU20" s="1777"/>
      <c r="AV20" s="1778"/>
    </row>
    <row r="21" spans="1:48" ht="29.25" customHeight="1">
      <c r="A21" s="1834"/>
      <c r="B21" s="1779"/>
      <c r="C21" s="1779"/>
      <c r="D21" s="1779"/>
      <c r="E21" s="1779"/>
      <c r="F21" s="1779"/>
      <c r="G21" s="1779"/>
      <c r="H21" s="1779"/>
      <c r="I21" s="1779"/>
      <c r="J21" s="1779"/>
      <c r="K21" s="1779"/>
      <c r="L21" s="1779"/>
      <c r="M21" s="1779"/>
      <c r="N21" s="1779"/>
      <c r="O21" s="1779"/>
      <c r="P21" s="1779"/>
      <c r="Q21" s="1780"/>
      <c r="R21" s="1834"/>
      <c r="S21" s="1779"/>
      <c r="T21" s="1779"/>
      <c r="U21" s="1779"/>
      <c r="V21" s="1779"/>
      <c r="W21" s="1833" t="s">
        <v>280</v>
      </c>
      <c r="X21" s="1777"/>
      <c r="Y21" s="1777"/>
      <c r="Z21" s="1777"/>
      <c r="AA21" s="1777"/>
      <c r="AB21" s="1777"/>
      <c r="AC21" s="1777"/>
      <c r="AD21" s="1777" t="s">
        <v>281</v>
      </c>
      <c r="AE21" s="1777"/>
      <c r="AF21" s="1777"/>
      <c r="AG21" s="1777"/>
      <c r="AH21" s="1777"/>
      <c r="AI21" s="1777"/>
      <c r="AJ21" s="1777"/>
      <c r="AK21" s="1777" t="s">
        <v>282</v>
      </c>
      <c r="AL21" s="1777"/>
      <c r="AM21" s="1777"/>
      <c r="AN21" s="1777"/>
      <c r="AO21" s="1777"/>
      <c r="AP21" s="1777"/>
      <c r="AQ21" s="1778"/>
      <c r="AR21" s="1779"/>
      <c r="AS21" s="1779"/>
      <c r="AT21" s="1779"/>
      <c r="AU21" s="1779"/>
      <c r="AV21" s="1780"/>
    </row>
    <row r="22" spans="1:48" s="147" customFormat="1" ht="35.1" customHeight="1">
      <c r="A22" s="1820" t="s">
        <v>278</v>
      </c>
      <c r="B22" s="1821"/>
      <c r="C22" s="1821"/>
      <c r="D22" s="1821"/>
      <c r="E22" s="1821"/>
      <c r="F22" s="1821"/>
      <c r="G22" s="1821"/>
      <c r="H22" s="1821"/>
      <c r="I22" s="1821"/>
      <c r="J22" s="1821"/>
      <c r="K22" s="1821"/>
      <c r="L22" s="1821"/>
      <c r="M22" s="1821"/>
      <c r="N22" s="1821"/>
      <c r="O22" s="1821"/>
      <c r="P22" s="1835" t="s">
        <v>277</v>
      </c>
      <c r="Q22" s="1836"/>
      <c r="R22" s="1750"/>
      <c r="S22" s="1750"/>
      <c r="T22" s="1750"/>
      <c r="U22" s="1750"/>
      <c r="V22" s="1750"/>
      <c r="W22" s="1828"/>
      <c r="X22" s="1748"/>
      <c r="Y22" s="1748"/>
      <c r="Z22" s="1748"/>
      <c r="AA22" s="1748"/>
      <c r="AB22" s="1748"/>
      <c r="AC22" s="1829"/>
      <c r="AD22" s="1748"/>
      <c r="AE22" s="1748"/>
      <c r="AF22" s="1748"/>
      <c r="AG22" s="1748"/>
      <c r="AH22" s="1748"/>
      <c r="AI22" s="1748"/>
      <c r="AJ22" s="1748"/>
      <c r="AK22" s="1747"/>
      <c r="AL22" s="1748"/>
      <c r="AM22" s="1748"/>
      <c r="AN22" s="1748"/>
      <c r="AO22" s="1748"/>
      <c r="AP22" s="1748"/>
      <c r="AQ22" s="1749"/>
      <c r="AR22" s="1818"/>
      <c r="AS22" s="1819"/>
      <c r="AT22" s="1819"/>
      <c r="AU22" s="1819"/>
      <c r="AV22" s="1819"/>
    </row>
    <row r="23" spans="1:48" s="147" customFormat="1" ht="35.1" customHeight="1">
      <c r="A23" s="1820" t="s">
        <v>279</v>
      </c>
      <c r="B23" s="1821"/>
      <c r="C23" s="1821"/>
      <c r="D23" s="1821"/>
      <c r="E23" s="1821"/>
      <c r="F23" s="1821"/>
      <c r="G23" s="1821"/>
      <c r="H23" s="1821"/>
      <c r="I23" s="1821"/>
      <c r="J23" s="1821"/>
      <c r="K23" s="1821"/>
      <c r="L23" s="1821"/>
      <c r="M23" s="1821"/>
      <c r="N23" s="1821"/>
      <c r="O23" s="1821"/>
      <c r="P23" s="1835" t="s">
        <v>82</v>
      </c>
      <c r="Q23" s="1836"/>
      <c r="R23" s="1750"/>
      <c r="S23" s="1750"/>
      <c r="T23" s="1750"/>
      <c r="U23" s="1750"/>
      <c r="V23" s="1750"/>
      <c r="W23" s="1822"/>
      <c r="X23" s="1823"/>
      <c r="Y23" s="1823"/>
      <c r="Z23" s="1823"/>
      <c r="AA23" s="1823"/>
      <c r="AB23" s="1823"/>
      <c r="AC23" s="1824"/>
      <c r="AD23" s="1823"/>
      <c r="AE23" s="1823"/>
      <c r="AF23" s="1823"/>
      <c r="AG23" s="1823"/>
      <c r="AH23" s="1823"/>
      <c r="AI23" s="1823"/>
      <c r="AJ23" s="1823"/>
      <c r="AK23" s="1825"/>
      <c r="AL23" s="1826"/>
      <c r="AM23" s="1826"/>
      <c r="AN23" s="1826"/>
      <c r="AO23" s="1826"/>
      <c r="AP23" s="1826"/>
      <c r="AQ23" s="1827"/>
      <c r="AR23" s="1751"/>
      <c r="AS23" s="1752"/>
      <c r="AT23" s="1752"/>
      <c r="AU23" s="1752"/>
      <c r="AV23" s="1752"/>
    </row>
    <row r="24" spans="1:48" s="147" customFormat="1" ht="35.1" customHeight="1">
      <c r="A24" s="1763" t="s">
        <v>367</v>
      </c>
      <c r="B24" s="1764"/>
      <c r="C24" s="1764"/>
      <c r="D24" s="1764"/>
      <c r="E24" s="1764"/>
      <c r="F24" s="1764"/>
      <c r="G24" s="1764"/>
      <c r="H24" s="1764"/>
      <c r="I24" s="1764"/>
      <c r="J24" s="1764"/>
      <c r="K24" s="1764"/>
      <c r="L24" s="1764"/>
      <c r="M24" s="1764"/>
      <c r="N24" s="1764"/>
      <c r="O24" s="1764"/>
      <c r="P24" s="1758" t="s">
        <v>86</v>
      </c>
      <c r="Q24" s="1759"/>
      <c r="R24" s="1768" t="str">
        <f>IF(AJ11=""," ",(100*(R22-(R23/AD16))/R22))</f>
        <v xml:space="preserve"> </v>
      </c>
      <c r="S24" s="1768"/>
      <c r="T24" s="1768"/>
      <c r="U24" s="1768"/>
      <c r="V24" s="1769"/>
      <c r="W24" s="1765"/>
      <c r="X24" s="1766"/>
      <c r="Y24" s="1766"/>
      <c r="Z24" s="1766"/>
      <c r="AA24" s="1766"/>
      <c r="AB24" s="1766"/>
      <c r="AC24" s="1766"/>
      <c r="AD24" s="1766"/>
      <c r="AE24" s="1766"/>
      <c r="AF24" s="1766"/>
      <c r="AG24" s="1766"/>
      <c r="AH24" s="1766"/>
      <c r="AI24" s="1766"/>
      <c r="AJ24" s="1766"/>
      <c r="AK24" s="1766"/>
      <c r="AL24" s="1766"/>
      <c r="AM24" s="1766"/>
      <c r="AN24" s="1766"/>
      <c r="AO24" s="1766"/>
      <c r="AP24" s="1766"/>
      <c r="AQ24" s="1767"/>
      <c r="AR24" s="1753"/>
      <c r="AS24" s="1754"/>
      <c r="AT24" s="1754"/>
      <c r="AU24" s="1754"/>
      <c r="AV24" s="1755"/>
    </row>
    <row r="25" spans="1:48" s="72" customFormat="1" ht="30" customHeight="1">
      <c r="A25" s="1770" t="s">
        <v>19</v>
      </c>
      <c r="B25" s="1771"/>
      <c r="C25" s="1771"/>
      <c r="D25" s="1771"/>
      <c r="E25" s="1771"/>
      <c r="F25" s="1771"/>
      <c r="G25" s="1771"/>
      <c r="H25" s="602"/>
      <c r="I25" s="1772"/>
      <c r="J25" s="1772"/>
      <c r="K25" s="1772"/>
      <c r="L25" s="1772"/>
      <c r="M25" s="1772"/>
      <c r="N25" s="1772"/>
      <c r="O25" s="1772"/>
      <c r="P25" s="1772"/>
      <c r="Q25" s="1772"/>
      <c r="R25" s="1772"/>
      <c r="S25" s="1772"/>
      <c r="T25" s="1772"/>
      <c r="U25" s="1772"/>
      <c r="V25" s="1772"/>
      <c r="W25" s="1772"/>
      <c r="X25" s="1772"/>
      <c r="Y25" s="1772"/>
      <c r="Z25" s="1772"/>
      <c r="AA25" s="1772"/>
      <c r="AB25" s="1772"/>
      <c r="AC25" s="1772"/>
      <c r="AD25" s="1772"/>
      <c r="AE25" s="1772"/>
      <c r="AF25" s="1772"/>
      <c r="AG25" s="1772"/>
      <c r="AH25" s="1772"/>
      <c r="AI25" s="1772"/>
      <c r="AJ25" s="1772"/>
      <c r="AK25" s="1772"/>
      <c r="AL25" s="1772"/>
      <c r="AM25" s="1772"/>
      <c r="AN25" s="1772"/>
      <c r="AO25" s="1772"/>
      <c r="AP25" s="1772"/>
      <c r="AQ25" s="1772"/>
      <c r="AR25" s="1772"/>
      <c r="AS25" s="1772"/>
      <c r="AT25" s="1772"/>
      <c r="AU25" s="1772"/>
      <c r="AV25" s="1773"/>
    </row>
    <row r="26" spans="1:48" s="67" customFormat="1" ht="48" customHeight="1">
      <c r="A26" s="1830"/>
      <c r="B26" s="1831"/>
      <c r="C26" s="1831"/>
      <c r="D26" s="1831"/>
      <c r="E26" s="1831"/>
      <c r="F26" s="1831"/>
      <c r="G26" s="1831"/>
      <c r="H26" s="1831"/>
      <c r="I26" s="1831"/>
      <c r="J26" s="1831"/>
      <c r="K26" s="1831"/>
      <c r="L26" s="1831"/>
      <c r="M26" s="1831"/>
      <c r="N26" s="1831"/>
      <c r="O26" s="1831"/>
      <c r="P26" s="1831"/>
      <c r="Q26" s="1831"/>
      <c r="R26" s="1831"/>
      <c r="S26" s="1831"/>
      <c r="T26" s="1831"/>
      <c r="U26" s="1831"/>
      <c r="V26" s="1831"/>
      <c r="W26" s="1831"/>
      <c r="X26" s="1831"/>
      <c r="Y26" s="1831"/>
      <c r="Z26" s="1831"/>
      <c r="AA26" s="1831"/>
      <c r="AB26" s="1831"/>
      <c r="AC26" s="1831"/>
      <c r="AD26" s="1831"/>
      <c r="AE26" s="1831"/>
      <c r="AF26" s="1831"/>
      <c r="AG26" s="1831"/>
      <c r="AH26" s="1831"/>
      <c r="AI26" s="1831"/>
      <c r="AJ26" s="1831"/>
      <c r="AK26" s="1831"/>
      <c r="AL26" s="1831"/>
      <c r="AM26" s="1831"/>
      <c r="AN26" s="1831"/>
      <c r="AO26" s="1831"/>
      <c r="AP26" s="1831"/>
      <c r="AQ26" s="1831"/>
      <c r="AR26" s="1831"/>
      <c r="AS26" s="1831"/>
      <c r="AT26" s="1831"/>
      <c r="AU26" s="1831"/>
      <c r="AV26" s="1832"/>
    </row>
    <row r="27" spans="1:48" s="67" customFormat="1" ht="15.95" customHeight="1">
      <c r="A27" s="1760"/>
      <c r="B27" s="1761"/>
      <c r="C27" s="1761"/>
      <c r="D27" s="1761"/>
      <c r="E27" s="1761"/>
      <c r="F27" s="1761"/>
      <c r="G27" s="1761"/>
      <c r="H27" s="1761"/>
      <c r="I27" s="1761"/>
      <c r="J27" s="1761"/>
      <c r="K27" s="1762"/>
      <c r="L27" s="1062" t="s">
        <v>9</v>
      </c>
      <c r="M27" s="1063"/>
      <c r="N27" s="1063"/>
      <c r="O27" s="1063"/>
      <c r="P27" s="1063"/>
      <c r="Q27" s="1063"/>
      <c r="R27" s="1063"/>
      <c r="S27" s="1063"/>
      <c r="T27" s="1063"/>
      <c r="U27" s="1063"/>
      <c r="V27" s="1064"/>
      <c r="W27" s="1062" t="s">
        <v>21</v>
      </c>
      <c r="X27" s="1063"/>
      <c r="Y27" s="1063"/>
      <c r="Z27" s="1063"/>
      <c r="AA27" s="1063"/>
      <c r="AB27" s="1063"/>
      <c r="AC27" s="1063"/>
      <c r="AD27" s="1063"/>
      <c r="AE27" s="1063"/>
      <c r="AF27" s="1063"/>
      <c r="AG27" s="1063"/>
      <c r="AH27" s="1063"/>
      <c r="AI27" s="1063"/>
      <c r="AJ27" s="1064"/>
      <c r="AK27" s="1524" t="s">
        <v>22</v>
      </c>
      <c r="AL27" s="917"/>
      <c r="AM27" s="917"/>
      <c r="AN27" s="917"/>
      <c r="AO27" s="917"/>
      <c r="AP27" s="917"/>
      <c r="AQ27" s="917"/>
      <c r="AR27" s="917"/>
      <c r="AS27" s="917"/>
      <c r="AT27" s="917"/>
      <c r="AU27" s="917"/>
      <c r="AV27" s="1525"/>
    </row>
    <row r="28" spans="1:48" s="67" customFormat="1" ht="45" customHeight="1">
      <c r="A28" s="1797" t="s">
        <v>12</v>
      </c>
      <c r="B28" s="1798"/>
      <c r="C28" s="1798"/>
      <c r="D28" s="1798"/>
      <c r="E28" s="1798"/>
      <c r="F28" s="1798"/>
      <c r="G28" s="1798"/>
      <c r="H28" s="1798"/>
      <c r="I28" s="1798"/>
      <c r="J28" s="1798"/>
      <c r="K28" s="1799"/>
      <c r="L28" s="1794"/>
      <c r="M28" s="1795"/>
      <c r="N28" s="1795"/>
      <c r="O28" s="1795"/>
      <c r="P28" s="1795"/>
      <c r="Q28" s="1795"/>
      <c r="R28" s="1795"/>
      <c r="S28" s="1795"/>
      <c r="T28" s="1795"/>
      <c r="U28" s="1795"/>
      <c r="V28" s="1796"/>
      <c r="W28" s="1794"/>
      <c r="X28" s="1795"/>
      <c r="Y28" s="1795"/>
      <c r="Z28" s="1795"/>
      <c r="AA28" s="1795"/>
      <c r="AB28" s="1795"/>
      <c r="AC28" s="1795"/>
      <c r="AD28" s="1795"/>
      <c r="AE28" s="1795"/>
      <c r="AF28" s="1795"/>
      <c r="AG28" s="1795"/>
      <c r="AH28" s="1795"/>
      <c r="AI28" s="1795"/>
      <c r="AJ28" s="1796"/>
      <c r="AK28" s="1794"/>
      <c r="AL28" s="1795"/>
      <c r="AM28" s="1795"/>
      <c r="AN28" s="1795"/>
      <c r="AO28" s="1795"/>
      <c r="AP28" s="1795"/>
      <c r="AQ28" s="1795"/>
      <c r="AR28" s="1795"/>
      <c r="AS28" s="1795"/>
      <c r="AT28" s="1795"/>
      <c r="AU28" s="1795"/>
      <c r="AV28" s="1796"/>
    </row>
    <row r="29" spans="1:48" s="67" customFormat="1" ht="15.95" customHeight="1">
      <c r="A29" s="1800" t="s">
        <v>448</v>
      </c>
      <c r="B29" s="1801"/>
      <c r="C29" s="1801"/>
      <c r="D29" s="1801"/>
      <c r="E29" s="1801"/>
      <c r="F29" s="1801"/>
      <c r="G29" s="1801"/>
      <c r="H29" s="1801"/>
      <c r="I29" s="1801"/>
      <c r="J29" s="1801"/>
      <c r="K29" s="1802"/>
      <c r="L29" s="1788" t="s">
        <v>410</v>
      </c>
      <c r="M29" s="1789"/>
      <c r="N29" s="1789"/>
      <c r="O29" s="1789"/>
      <c r="P29" s="1789"/>
      <c r="Q29" s="1789"/>
      <c r="R29" s="1789"/>
      <c r="S29" s="1789"/>
      <c r="T29" s="1789"/>
      <c r="U29" s="1789"/>
      <c r="V29" s="1790"/>
      <c r="W29" s="1788" t="s">
        <v>410</v>
      </c>
      <c r="X29" s="1789"/>
      <c r="Y29" s="1789"/>
      <c r="Z29" s="1789"/>
      <c r="AA29" s="1789"/>
      <c r="AB29" s="1789"/>
      <c r="AC29" s="1789"/>
      <c r="AD29" s="1789"/>
      <c r="AE29" s="1789"/>
      <c r="AF29" s="1789"/>
      <c r="AG29" s="1789"/>
      <c r="AH29" s="1789"/>
      <c r="AI29" s="1789"/>
      <c r="AJ29" s="1790"/>
      <c r="AK29" s="1788" t="s">
        <v>410</v>
      </c>
      <c r="AL29" s="1789"/>
      <c r="AM29" s="1789"/>
      <c r="AN29" s="1789"/>
      <c r="AO29" s="1789"/>
      <c r="AP29" s="1789"/>
      <c r="AQ29" s="1789"/>
      <c r="AR29" s="1789"/>
      <c r="AS29" s="1789"/>
      <c r="AT29" s="1789"/>
      <c r="AU29" s="1789"/>
      <c r="AV29" s="1790"/>
    </row>
    <row r="30" spans="1:48" s="67" customFormat="1" ht="15.95" customHeight="1" thickBot="1">
      <c r="A30" s="1803" t="s">
        <v>13</v>
      </c>
      <c r="B30" s="1804"/>
      <c r="C30" s="1804"/>
      <c r="D30" s="1804"/>
      <c r="E30" s="1804"/>
      <c r="F30" s="1804"/>
      <c r="G30" s="1804"/>
      <c r="H30" s="1804"/>
      <c r="I30" s="1804"/>
      <c r="J30" s="1804"/>
      <c r="K30" s="1805"/>
      <c r="L30" s="1791" t="str">
        <f>IF(L29="--","",VLOOKUP(L29,firmas!A2:B26,2,0))</f>
        <v/>
      </c>
      <c r="M30" s="1792"/>
      <c r="N30" s="1792"/>
      <c r="O30" s="1792"/>
      <c r="P30" s="1792"/>
      <c r="Q30" s="1792"/>
      <c r="R30" s="1792"/>
      <c r="S30" s="1792"/>
      <c r="T30" s="1792"/>
      <c r="U30" s="1792"/>
      <c r="V30" s="1793"/>
      <c r="W30" s="1791" t="str">
        <f>IF(W29="--","",VLOOKUP(W29,firmas!A28:B31,2,0))</f>
        <v/>
      </c>
      <c r="X30" s="1792"/>
      <c r="Y30" s="1792"/>
      <c r="Z30" s="1792"/>
      <c r="AA30" s="1792"/>
      <c r="AB30" s="1792"/>
      <c r="AC30" s="1792"/>
      <c r="AD30" s="1792"/>
      <c r="AE30" s="1792"/>
      <c r="AF30" s="1792"/>
      <c r="AG30" s="1792"/>
      <c r="AH30" s="1792"/>
      <c r="AI30" s="1792"/>
      <c r="AJ30" s="1793"/>
      <c r="AK30" s="1791" t="str">
        <f>IF(AK29="--","",VLOOKUP(AK29,firmas!A33:B34,2))</f>
        <v/>
      </c>
      <c r="AL30" s="1792"/>
      <c r="AM30" s="1792"/>
      <c r="AN30" s="1792"/>
      <c r="AO30" s="1792"/>
      <c r="AP30" s="1792"/>
      <c r="AQ30" s="1792"/>
      <c r="AR30" s="1792"/>
      <c r="AS30" s="1792"/>
      <c r="AT30" s="1792"/>
      <c r="AU30" s="1792"/>
      <c r="AV30" s="1793"/>
    </row>
    <row r="31" spans="1:48" s="73" customFormat="1" ht="15" customHeight="1" thickTop="1" thickBot="1">
      <c r="A31" s="1756" t="s">
        <v>23</v>
      </c>
      <c r="B31" s="1757"/>
      <c r="C31" s="1757"/>
      <c r="D31" s="1757"/>
      <c r="E31" s="1757"/>
      <c r="F31" s="1757"/>
      <c r="G31" s="1757"/>
      <c r="H31" s="1757"/>
      <c r="I31" s="1757"/>
      <c r="J31" s="1757"/>
      <c r="K31" s="1757"/>
      <c r="L31" s="1757"/>
      <c r="M31" s="1757"/>
      <c r="N31" s="1757"/>
      <c r="O31" s="1757"/>
      <c r="P31" s="1757"/>
      <c r="Q31" s="1757"/>
      <c r="R31" s="1757"/>
      <c r="S31" s="1757"/>
      <c r="T31" s="1757"/>
      <c r="U31" s="1757"/>
      <c r="V31" s="1757"/>
      <c r="W31" s="1757"/>
      <c r="X31" s="1757"/>
      <c r="Y31" s="1757"/>
      <c r="Z31" s="1757"/>
      <c r="AA31" s="1757"/>
      <c r="AB31" s="1757"/>
      <c r="AC31" s="1757"/>
      <c r="AD31" s="1757"/>
      <c r="AE31" s="1757"/>
      <c r="AF31" s="1757"/>
      <c r="AG31" s="1757"/>
      <c r="AH31" s="1757"/>
      <c r="AI31" s="1757"/>
      <c r="AJ31" s="1757"/>
      <c r="AK31" s="1757"/>
      <c r="AL31" s="1757"/>
      <c r="AM31" s="1757"/>
      <c r="AN31" s="1757"/>
      <c r="AO31" s="1757"/>
      <c r="AP31" s="1757"/>
      <c r="AQ31" s="1757"/>
      <c r="AR31" s="1757"/>
      <c r="AS31" s="1757"/>
      <c r="AT31" s="1757"/>
      <c r="AU31" s="1757"/>
      <c r="AV31" s="1757"/>
    </row>
    <row r="32" spans="1:48" s="67" customFormat="1" ht="21.95" customHeight="1" thickTop="1">
      <c r="A32" s="905" t="s">
        <v>24</v>
      </c>
      <c r="B32" s="905"/>
      <c r="C32" s="905"/>
      <c r="D32" s="905"/>
      <c r="E32" s="905"/>
      <c r="F32" s="905"/>
      <c r="G32" s="905"/>
      <c r="H32" s="905"/>
      <c r="I32" s="905"/>
      <c r="J32" s="905"/>
      <c r="K32" s="905"/>
      <c r="L32" s="905"/>
      <c r="M32" s="905"/>
      <c r="N32" s="905"/>
      <c r="O32" s="905"/>
      <c r="P32" s="905"/>
      <c r="Q32" s="905"/>
      <c r="R32" s="905"/>
      <c r="S32" s="905"/>
      <c r="T32" s="905"/>
      <c r="U32" s="905"/>
      <c r="V32" s="905"/>
      <c r="W32" s="905"/>
      <c r="X32" s="905"/>
      <c r="Y32" s="905"/>
      <c r="Z32" s="905"/>
      <c r="AA32" s="905"/>
      <c r="AB32" s="905"/>
      <c r="AC32" s="905"/>
      <c r="AD32" s="905"/>
      <c r="AE32" s="905"/>
      <c r="AF32" s="905"/>
      <c r="AG32" s="905"/>
      <c r="AH32" s="905"/>
      <c r="AI32" s="905"/>
      <c r="AJ32" s="905"/>
      <c r="AK32" s="905"/>
      <c r="AL32" s="905"/>
      <c r="AM32" s="905"/>
      <c r="AN32" s="905"/>
      <c r="AO32" s="905"/>
      <c r="AP32" s="905"/>
      <c r="AQ32" s="905"/>
      <c r="AR32" s="905"/>
      <c r="AS32" s="905"/>
      <c r="AT32" s="905"/>
      <c r="AU32" s="905"/>
      <c r="AV32" s="905"/>
    </row>
    <row r="33" spans="1:48" s="67" customFormat="1" ht="32.1" customHeight="1">
      <c r="A33" s="1078" t="s">
        <v>15</v>
      </c>
      <c r="B33" s="1078"/>
      <c r="C33" s="1078"/>
      <c r="D33" s="1078"/>
      <c r="E33" s="1078"/>
      <c r="F33" s="1078"/>
      <c r="G33" s="1078"/>
      <c r="H33" s="1078"/>
      <c r="I33" s="1078"/>
      <c r="J33" s="1078"/>
      <c r="K33" s="1078"/>
      <c r="L33" s="1078"/>
      <c r="M33" s="1078"/>
      <c r="N33" s="1078"/>
      <c r="O33" s="1078"/>
      <c r="P33" s="1078"/>
      <c r="Q33" s="1078"/>
      <c r="R33" s="1078"/>
      <c r="S33" s="1078"/>
      <c r="T33" s="1078"/>
      <c r="U33" s="1078"/>
      <c r="V33" s="1078"/>
      <c r="W33" s="1078"/>
      <c r="X33" s="1078"/>
      <c r="Y33" s="1078"/>
      <c r="Z33" s="1078"/>
      <c r="AA33" s="1078"/>
      <c r="AB33" s="1078"/>
      <c r="AC33" s="1078"/>
      <c r="AD33" s="1078"/>
      <c r="AE33" s="1078"/>
      <c r="AF33" s="1078"/>
      <c r="AG33" s="1078"/>
      <c r="AH33" s="1078"/>
      <c r="AI33" s="1078"/>
      <c r="AJ33" s="1078"/>
      <c r="AK33" s="1078"/>
      <c r="AL33" s="1078"/>
      <c r="AM33" s="1078"/>
      <c r="AN33" s="1078"/>
      <c r="AO33" s="1078"/>
      <c r="AP33" s="1078"/>
      <c r="AQ33" s="1078"/>
      <c r="AR33" s="1078"/>
      <c r="AS33" s="1078"/>
      <c r="AT33" s="1078"/>
      <c r="AU33" s="1078"/>
      <c r="AV33" s="1078"/>
    </row>
    <row r="34" spans="1:48" ht="30.75" customHeight="1"/>
  </sheetData>
  <sheetProtection algorithmName="SHA-512" hashValue="NAYdg+vTubQTpoToJAl4ANd3kYoMbtByJNg/2FpFmcY3umPUlseSfoIBOr5gIfruzsz9J2L+p1Xq9F07vXV75Q==" saltValue="JUzHKz/huFDEnylKBxVRBA==" spinCount="100000" sheet="1" formatCells="0" formatColumns="0" formatRows="0"/>
  <mergeCells count="102">
    <mergeCell ref="F7:O7"/>
    <mergeCell ref="F8:O8"/>
    <mergeCell ref="F9:AC9"/>
    <mergeCell ref="AD9:AL9"/>
    <mergeCell ref="AM9:AV9"/>
    <mergeCell ref="U8:AC8"/>
    <mergeCell ref="A1:K5"/>
    <mergeCell ref="L1:AV1"/>
    <mergeCell ref="L2:AV2"/>
    <mergeCell ref="L3:AV3"/>
    <mergeCell ref="L4:AD4"/>
    <mergeCell ref="AE4:AV4"/>
    <mergeCell ref="L5:AV5"/>
    <mergeCell ref="U7:AC7"/>
    <mergeCell ref="P7:T7"/>
    <mergeCell ref="P8:T8"/>
    <mergeCell ref="A6:E6"/>
    <mergeCell ref="A7:E7"/>
    <mergeCell ref="A8:E8"/>
    <mergeCell ref="A9:E9"/>
    <mergeCell ref="F6:AC6"/>
    <mergeCell ref="AD8:AL8"/>
    <mergeCell ref="AM7:AV7"/>
    <mergeCell ref="AM6:AV6"/>
    <mergeCell ref="A33:AV33"/>
    <mergeCell ref="A13:AA13"/>
    <mergeCell ref="AJ13:AP13"/>
    <mergeCell ref="AR22:AV22"/>
    <mergeCell ref="A23:O23"/>
    <mergeCell ref="W23:AC23"/>
    <mergeCell ref="AD23:AJ23"/>
    <mergeCell ref="AK23:AQ23"/>
    <mergeCell ref="A22:O22"/>
    <mergeCell ref="W22:AC22"/>
    <mergeCell ref="AD22:AJ22"/>
    <mergeCell ref="A26:AV26"/>
    <mergeCell ref="A19:Q21"/>
    <mergeCell ref="W20:AQ20"/>
    <mergeCell ref="P22:Q22"/>
    <mergeCell ref="P23:Q23"/>
    <mergeCell ref="W21:AC21"/>
    <mergeCell ref="AD21:AJ21"/>
    <mergeCell ref="AK21:AQ21"/>
    <mergeCell ref="A14:AA14"/>
    <mergeCell ref="AJ14:AP14"/>
    <mergeCell ref="AO16:AR17"/>
    <mergeCell ref="AE14:AI14"/>
    <mergeCell ref="R19:V21"/>
    <mergeCell ref="AB14:AD14"/>
    <mergeCell ref="AB13:AD13"/>
    <mergeCell ref="AQ11:AS11"/>
    <mergeCell ref="AQ12:AS12"/>
    <mergeCell ref="AE13:AI13"/>
    <mergeCell ref="AS16:AU17"/>
    <mergeCell ref="V16:AC17"/>
    <mergeCell ref="AQ13:AS13"/>
    <mergeCell ref="A10:AV10"/>
    <mergeCell ref="A11:AA11"/>
    <mergeCell ref="AJ11:AP11"/>
    <mergeCell ref="A12:AA12"/>
    <mergeCell ref="AJ12:AP12"/>
    <mergeCell ref="AE11:AI11"/>
    <mergeCell ref="AE12:AI12"/>
    <mergeCell ref="AB11:AD11"/>
    <mergeCell ref="AB12:AD12"/>
    <mergeCell ref="A32:AV32"/>
    <mergeCell ref="AK29:AV29"/>
    <mergeCell ref="AK30:AV30"/>
    <mergeCell ref="AK28:AV28"/>
    <mergeCell ref="W28:AJ28"/>
    <mergeCell ref="W29:AJ29"/>
    <mergeCell ref="W30:AJ30"/>
    <mergeCell ref="A28:K28"/>
    <mergeCell ref="A29:K29"/>
    <mergeCell ref="A30:K30"/>
    <mergeCell ref="L28:V28"/>
    <mergeCell ref="L29:V29"/>
    <mergeCell ref="L30:V30"/>
    <mergeCell ref="AM8:AV8"/>
    <mergeCell ref="AD6:AL6"/>
    <mergeCell ref="AD7:AL7"/>
    <mergeCell ref="AK22:AQ22"/>
    <mergeCell ref="R22:V22"/>
    <mergeCell ref="R23:V23"/>
    <mergeCell ref="AR23:AV23"/>
    <mergeCell ref="AR24:AV24"/>
    <mergeCell ref="A31:AV31"/>
    <mergeCell ref="P24:Q24"/>
    <mergeCell ref="W27:AJ27"/>
    <mergeCell ref="A27:K27"/>
    <mergeCell ref="L27:V27"/>
    <mergeCell ref="A24:O24"/>
    <mergeCell ref="W24:AQ24"/>
    <mergeCell ref="AK27:AV27"/>
    <mergeCell ref="R24:V24"/>
    <mergeCell ref="A25:G25"/>
    <mergeCell ref="I25:AV25"/>
    <mergeCell ref="W19:AQ19"/>
    <mergeCell ref="AR19:AV21"/>
    <mergeCell ref="AQ14:AS14"/>
    <mergeCell ref="J16:U17"/>
    <mergeCell ref="AD16:AG17"/>
  </mergeCells>
  <printOptions horizontalCentered="1"/>
  <pageMargins left="0.59055118110236227" right="0.19685039370078741" top="0" bottom="0" header="0" footer="0.78740157480314965"/>
  <pageSetup orientation="portrait" r:id="rId1"/>
  <headerFooter scaleWithDoc="0">
    <oddHeader xml:space="preserve">&amp;L&amp;"Eurostile Extended,Regular Negrita"&amp;16
</oddHeader>
    <oddFooter>&amp;L&amp;6Calle 26 No. 57-41 Torre 8 Pisos 7-8 CEMSA - CP: 1113111            
Pbx: 3779555  - Información: Línea 195     
www.umv.gov.co111311&amp;C&amp;6PRO-FM-024
Página 1 de 1</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firmas!$A$2:$A$26</xm:f>
          </x14:formula1>
          <xm:sqref>L29:V29</xm:sqref>
        </x14:dataValidation>
        <x14:dataValidation type="list" allowBlank="1" showInputMessage="1" showErrorMessage="1">
          <x14:formula1>
            <xm:f>firmas!$A$28:$A$31</xm:f>
          </x14:formula1>
          <xm:sqref>W29:AJ29</xm:sqref>
        </x14:dataValidation>
        <x14:dataValidation type="list" allowBlank="1" showInputMessage="1" showErrorMessage="1">
          <x14:formula1>
            <xm:f>firmas!$A$33:$A$35</xm:f>
          </x14:formula1>
          <xm:sqref>AK29:AV29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X72"/>
  <sheetViews>
    <sheetView showGridLines="0" view="pageBreakPreview" topLeftCell="A31" zoomScaleSheetLayoutView="100" workbookViewId="0">
      <selection activeCell="F28" sqref="C28:H28"/>
    </sheetView>
  </sheetViews>
  <sheetFormatPr baseColWidth="10" defaultColWidth="5.7109375" defaultRowHeight="12.75"/>
  <cols>
    <col min="1" max="2" width="11" style="171" customWidth="1"/>
    <col min="3" max="3" width="6.7109375" style="171" customWidth="1"/>
    <col min="4" max="4" width="8.5703125" style="171" customWidth="1"/>
    <col min="5" max="5" width="9.85546875" style="171" customWidth="1"/>
    <col min="6" max="6" width="1.85546875" style="171" customWidth="1"/>
    <col min="7" max="7" width="14.28515625" style="171" customWidth="1"/>
    <col min="8" max="8" width="11.28515625" style="171" customWidth="1"/>
    <col min="9" max="9" width="7.5703125" style="171" customWidth="1"/>
    <col min="10" max="10" width="11.85546875" style="171" customWidth="1"/>
    <col min="11" max="11" width="3.140625" style="171" customWidth="1"/>
    <col min="12" max="12" width="5.42578125" style="171" customWidth="1"/>
    <col min="13" max="13" width="5.5703125" style="176" customWidth="1"/>
    <col min="14" max="14" width="6.5703125" style="176" customWidth="1"/>
    <col min="15" max="15" width="18.28515625" style="176" customWidth="1"/>
    <col min="16" max="20" width="10.7109375" style="176" customWidth="1"/>
    <col min="21" max="24" width="10.7109375" style="171" customWidth="1"/>
    <col min="25" max="245" width="14.42578125" style="171" customWidth="1"/>
    <col min="246" max="246" width="5.7109375" style="171" customWidth="1"/>
    <col min="247" max="247" width="12.7109375" style="171" customWidth="1"/>
    <col min="248" max="248" width="0" style="171" hidden="1" customWidth="1"/>
    <col min="249" max="249" width="11.42578125" style="171" customWidth="1"/>
    <col min="250" max="253" width="14.7109375" style="171" customWidth="1"/>
    <col min="254" max="254" width="16.140625" style="171" customWidth="1"/>
    <col min="255" max="255" width="5.7109375" style="171"/>
    <col min="256" max="256" width="3.7109375" style="171" customWidth="1"/>
    <col min="257" max="257" width="12.7109375" style="171" customWidth="1"/>
    <col min="258" max="258" width="1.7109375" style="171" customWidth="1"/>
    <col min="259" max="259" width="12.28515625" style="171" customWidth="1"/>
    <col min="260" max="260" width="14.7109375" style="171" customWidth="1"/>
    <col min="261" max="264" width="7.7109375" style="171" customWidth="1"/>
    <col min="265" max="265" width="16.5703125" style="171" customWidth="1"/>
    <col min="266" max="266" width="14.7109375" style="171" customWidth="1"/>
    <col min="267" max="267" width="3.7109375" style="171" customWidth="1"/>
    <col min="268" max="268" width="4.42578125" style="171" customWidth="1"/>
    <col min="269" max="269" width="5.5703125" style="171" customWidth="1"/>
    <col min="270" max="270" width="6.5703125" style="171" customWidth="1"/>
    <col min="271" max="271" width="18.28515625" style="171" customWidth="1"/>
    <col min="272" max="280" width="10.7109375" style="171" customWidth="1"/>
    <col min="281" max="501" width="14.42578125" style="171" customWidth="1"/>
    <col min="502" max="502" width="5.7109375" style="171" customWidth="1"/>
    <col min="503" max="503" width="12.7109375" style="171" customWidth="1"/>
    <col min="504" max="504" width="0" style="171" hidden="1" customWidth="1"/>
    <col min="505" max="505" width="11.42578125" style="171" customWidth="1"/>
    <col min="506" max="509" width="14.7109375" style="171" customWidth="1"/>
    <col min="510" max="510" width="16.140625" style="171" customWidth="1"/>
    <col min="511" max="511" width="5.7109375" style="171"/>
    <col min="512" max="512" width="3.7109375" style="171" customWidth="1"/>
    <col min="513" max="513" width="12.7109375" style="171" customWidth="1"/>
    <col min="514" max="514" width="1.7109375" style="171" customWidth="1"/>
    <col min="515" max="515" width="12.28515625" style="171" customWidth="1"/>
    <col min="516" max="516" width="14.7109375" style="171" customWidth="1"/>
    <col min="517" max="520" width="7.7109375" style="171" customWidth="1"/>
    <col min="521" max="521" width="16.5703125" style="171" customWidth="1"/>
    <col min="522" max="522" width="14.7109375" style="171" customWidth="1"/>
    <col min="523" max="523" width="3.7109375" style="171" customWidth="1"/>
    <col min="524" max="524" width="4.42578125" style="171" customWidth="1"/>
    <col min="525" max="525" width="5.5703125" style="171" customWidth="1"/>
    <col min="526" max="526" width="6.5703125" style="171" customWidth="1"/>
    <col min="527" max="527" width="18.28515625" style="171" customWidth="1"/>
    <col min="528" max="536" width="10.7109375" style="171" customWidth="1"/>
    <col min="537" max="757" width="14.42578125" style="171" customWidth="1"/>
    <col min="758" max="758" width="5.7109375" style="171" customWidth="1"/>
    <col min="759" max="759" width="12.7109375" style="171" customWidth="1"/>
    <col min="760" max="760" width="0" style="171" hidden="1" customWidth="1"/>
    <col min="761" max="761" width="11.42578125" style="171" customWidth="1"/>
    <col min="762" max="765" width="14.7109375" style="171" customWidth="1"/>
    <col min="766" max="766" width="16.140625" style="171" customWidth="1"/>
    <col min="767" max="767" width="5.7109375" style="171"/>
    <col min="768" max="768" width="3.7109375" style="171" customWidth="1"/>
    <col min="769" max="769" width="12.7109375" style="171" customWidth="1"/>
    <col min="770" max="770" width="1.7109375" style="171" customWidth="1"/>
    <col min="771" max="771" width="12.28515625" style="171" customWidth="1"/>
    <col min="772" max="772" width="14.7109375" style="171" customWidth="1"/>
    <col min="773" max="776" width="7.7109375" style="171" customWidth="1"/>
    <col min="777" max="777" width="16.5703125" style="171" customWidth="1"/>
    <col min="778" max="778" width="14.7109375" style="171" customWidth="1"/>
    <col min="779" max="779" width="3.7109375" style="171" customWidth="1"/>
    <col min="780" max="780" width="4.42578125" style="171" customWidth="1"/>
    <col min="781" max="781" width="5.5703125" style="171" customWidth="1"/>
    <col min="782" max="782" width="6.5703125" style="171" customWidth="1"/>
    <col min="783" max="783" width="18.28515625" style="171" customWidth="1"/>
    <col min="784" max="792" width="10.7109375" style="171" customWidth="1"/>
    <col min="793" max="1013" width="14.42578125" style="171" customWidth="1"/>
    <col min="1014" max="1014" width="5.7109375" style="171" customWidth="1"/>
    <col min="1015" max="1015" width="12.7109375" style="171" customWidth="1"/>
    <col min="1016" max="1016" width="0" style="171" hidden="1" customWidth="1"/>
    <col min="1017" max="1017" width="11.42578125" style="171" customWidth="1"/>
    <col min="1018" max="1021" width="14.7109375" style="171" customWidth="1"/>
    <col min="1022" max="1022" width="16.140625" style="171" customWidth="1"/>
    <col min="1023" max="1023" width="5.7109375" style="171"/>
    <col min="1024" max="1024" width="3.7109375" style="171" customWidth="1"/>
    <col min="1025" max="1025" width="12.7109375" style="171" customWidth="1"/>
    <col min="1026" max="1026" width="1.7109375" style="171" customWidth="1"/>
    <col min="1027" max="1027" width="12.28515625" style="171" customWidth="1"/>
    <col min="1028" max="1028" width="14.7109375" style="171" customWidth="1"/>
    <col min="1029" max="1032" width="7.7109375" style="171" customWidth="1"/>
    <col min="1033" max="1033" width="16.5703125" style="171" customWidth="1"/>
    <col min="1034" max="1034" width="14.7109375" style="171" customWidth="1"/>
    <col min="1035" max="1035" width="3.7109375" style="171" customWidth="1"/>
    <col min="1036" max="1036" width="4.42578125" style="171" customWidth="1"/>
    <col min="1037" max="1037" width="5.5703125" style="171" customWidth="1"/>
    <col min="1038" max="1038" width="6.5703125" style="171" customWidth="1"/>
    <col min="1039" max="1039" width="18.28515625" style="171" customWidth="1"/>
    <col min="1040" max="1048" width="10.7109375" style="171" customWidth="1"/>
    <col min="1049" max="1269" width="14.42578125" style="171" customWidth="1"/>
    <col min="1270" max="1270" width="5.7109375" style="171" customWidth="1"/>
    <col min="1271" max="1271" width="12.7109375" style="171" customWidth="1"/>
    <col min="1272" max="1272" width="0" style="171" hidden="1" customWidth="1"/>
    <col min="1273" max="1273" width="11.42578125" style="171" customWidth="1"/>
    <col min="1274" max="1277" width="14.7109375" style="171" customWidth="1"/>
    <col min="1278" max="1278" width="16.140625" style="171" customWidth="1"/>
    <col min="1279" max="1279" width="5.7109375" style="171"/>
    <col min="1280" max="1280" width="3.7109375" style="171" customWidth="1"/>
    <col min="1281" max="1281" width="12.7109375" style="171" customWidth="1"/>
    <col min="1282" max="1282" width="1.7109375" style="171" customWidth="1"/>
    <col min="1283" max="1283" width="12.28515625" style="171" customWidth="1"/>
    <col min="1284" max="1284" width="14.7109375" style="171" customWidth="1"/>
    <col min="1285" max="1288" width="7.7109375" style="171" customWidth="1"/>
    <col min="1289" max="1289" width="16.5703125" style="171" customWidth="1"/>
    <col min="1290" max="1290" width="14.7109375" style="171" customWidth="1"/>
    <col min="1291" max="1291" width="3.7109375" style="171" customWidth="1"/>
    <col min="1292" max="1292" width="4.42578125" style="171" customWidth="1"/>
    <col min="1293" max="1293" width="5.5703125" style="171" customWidth="1"/>
    <col min="1294" max="1294" width="6.5703125" style="171" customWidth="1"/>
    <col min="1295" max="1295" width="18.28515625" style="171" customWidth="1"/>
    <col min="1296" max="1304" width="10.7109375" style="171" customWidth="1"/>
    <col min="1305" max="1525" width="14.42578125" style="171" customWidth="1"/>
    <col min="1526" max="1526" width="5.7109375" style="171" customWidth="1"/>
    <col min="1527" max="1527" width="12.7109375" style="171" customWidth="1"/>
    <col min="1528" max="1528" width="0" style="171" hidden="1" customWidth="1"/>
    <col min="1529" max="1529" width="11.42578125" style="171" customWidth="1"/>
    <col min="1530" max="1533" width="14.7109375" style="171" customWidth="1"/>
    <col min="1534" max="1534" width="16.140625" style="171" customWidth="1"/>
    <col min="1535" max="1535" width="5.7109375" style="171"/>
    <col min="1536" max="1536" width="3.7109375" style="171" customWidth="1"/>
    <col min="1537" max="1537" width="12.7109375" style="171" customWidth="1"/>
    <col min="1538" max="1538" width="1.7109375" style="171" customWidth="1"/>
    <col min="1539" max="1539" width="12.28515625" style="171" customWidth="1"/>
    <col min="1540" max="1540" width="14.7109375" style="171" customWidth="1"/>
    <col min="1541" max="1544" width="7.7109375" style="171" customWidth="1"/>
    <col min="1545" max="1545" width="16.5703125" style="171" customWidth="1"/>
    <col min="1546" max="1546" width="14.7109375" style="171" customWidth="1"/>
    <col min="1547" max="1547" width="3.7109375" style="171" customWidth="1"/>
    <col min="1548" max="1548" width="4.42578125" style="171" customWidth="1"/>
    <col min="1549" max="1549" width="5.5703125" style="171" customWidth="1"/>
    <col min="1550" max="1550" width="6.5703125" style="171" customWidth="1"/>
    <col min="1551" max="1551" width="18.28515625" style="171" customWidth="1"/>
    <col min="1552" max="1560" width="10.7109375" style="171" customWidth="1"/>
    <col min="1561" max="1781" width="14.42578125" style="171" customWidth="1"/>
    <col min="1782" max="1782" width="5.7109375" style="171" customWidth="1"/>
    <col min="1783" max="1783" width="12.7109375" style="171" customWidth="1"/>
    <col min="1784" max="1784" width="0" style="171" hidden="1" customWidth="1"/>
    <col min="1785" max="1785" width="11.42578125" style="171" customWidth="1"/>
    <col min="1786" max="1789" width="14.7109375" style="171" customWidth="1"/>
    <col min="1790" max="1790" width="16.140625" style="171" customWidth="1"/>
    <col min="1791" max="1791" width="5.7109375" style="171"/>
    <col min="1792" max="1792" width="3.7109375" style="171" customWidth="1"/>
    <col min="1793" max="1793" width="12.7109375" style="171" customWidth="1"/>
    <col min="1794" max="1794" width="1.7109375" style="171" customWidth="1"/>
    <col min="1795" max="1795" width="12.28515625" style="171" customWidth="1"/>
    <col min="1796" max="1796" width="14.7109375" style="171" customWidth="1"/>
    <col min="1797" max="1800" width="7.7109375" style="171" customWidth="1"/>
    <col min="1801" max="1801" width="16.5703125" style="171" customWidth="1"/>
    <col min="1802" max="1802" width="14.7109375" style="171" customWidth="1"/>
    <col min="1803" max="1803" width="3.7109375" style="171" customWidth="1"/>
    <col min="1804" max="1804" width="4.42578125" style="171" customWidth="1"/>
    <col min="1805" max="1805" width="5.5703125" style="171" customWidth="1"/>
    <col min="1806" max="1806" width="6.5703125" style="171" customWidth="1"/>
    <col min="1807" max="1807" width="18.28515625" style="171" customWidth="1"/>
    <col min="1808" max="1816" width="10.7109375" style="171" customWidth="1"/>
    <col min="1817" max="2037" width="14.42578125" style="171" customWidth="1"/>
    <col min="2038" max="2038" width="5.7109375" style="171" customWidth="1"/>
    <col min="2039" max="2039" width="12.7109375" style="171" customWidth="1"/>
    <col min="2040" max="2040" width="0" style="171" hidden="1" customWidth="1"/>
    <col min="2041" max="2041" width="11.42578125" style="171" customWidth="1"/>
    <col min="2042" max="2045" width="14.7109375" style="171" customWidth="1"/>
    <col min="2046" max="2046" width="16.140625" style="171" customWidth="1"/>
    <col min="2047" max="2047" width="5.7109375" style="171"/>
    <col min="2048" max="2048" width="3.7109375" style="171" customWidth="1"/>
    <col min="2049" max="2049" width="12.7109375" style="171" customWidth="1"/>
    <col min="2050" max="2050" width="1.7109375" style="171" customWidth="1"/>
    <col min="2051" max="2051" width="12.28515625" style="171" customWidth="1"/>
    <col min="2052" max="2052" width="14.7109375" style="171" customWidth="1"/>
    <col min="2053" max="2056" width="7.7109375" style="171" customWidth="1"/>
    <col min="2057" max="2057" width="16.5703125" style="171" customWidth="1"/>
    <col min="2058" max="2058" width="14.7109375" style="171" customWidth="1"/>
    <col min="2059" max="2059" width="3.7109375" style="171" customWidth="1"/>
    <col min="2060" max="2060" width="4.42578125" style="171" customWidth="1"/>
    <col min="2061" max="2061" width="5.5703125" style="171" customWidth="1"/>
    <col min="2062" max="2062" width="6.5703125" style="171" customWidth="1"/>
    <col min="2063" max="2063" width="18.28515625" style="171" customWidth="1"/>
    <col min="2064" max="2072" width="10.7109375" style="171" customWidth="1"/>
    <col min="2073" max="2293" width="14.42578125" style="171" customWidth="1"/>
    <col min="2294" max="2294" width="5.7109375" style="171" customWidth="1"/>
    <col min="2295" max="2295" width="12.7109375" style="171" customWidth="1"/>
    <col min="2296" max="2296" width="0" style="171" hidden="1" customWidth="1"/>
    <col min="2297" max="2297" width="11.42578125" style="171" customWidth="1"/>
    <col min="2298" max="2301" width="14.7109375" style="171" customWidth="1"/>
    <col min="2302" max="2302" width="16.140625" style="171" customWidth="1"/>
    <col min="2303" max="2303" width="5.7109375" style="171"/>
    <col min="2304" max="2304" width="3.7109375" style="171" customWidth="1"/>
    <col min="2305" max="2305" width="12.7109375" style="171" customWidth="1"/>
    <col min="2306" max="2306" width="1.7109375" style="171" customWidth="1"/>
    <col min="2307" max="2307" width="12.28515625" style="171" customWidth="1"/>
    <col min="2308" max="2308" width="14.7109375" style="171" customWidth="1"/>
    <col min="2309" max="2312" width="7.7109375" style="171" customWidth="1"/>
    <col min="2313" max="2313" width="16.5703125" style="171" customWidth="1"/>
    <col min="2314" max="2314" width="14.7109375" style="171" customWidth="1"/>
    <col min="2315" max="2315" width="3.7109375" style="171" customWidth="1"/>
    <col min="2316" max="2316" width="4.42578125" style="171" customWidth="1"/>
    <col min="2317" max="2317" width="5.5703125" style="171" customWidth="1"/>
    <col min="2318" max="2318" width="6.5703125" style="171" customWidth="1"/>
    <col min="2319" max="2319" width="18.28515625" style="171" customWidth="1"/>
    <col min="2320" max="2328" width="10.7109375" style="171" customWidth="1"/>
    <col min="2329" max="2549" width="14.42578125" style="171" customWidth="1"/>
    <col min="2550" max="2550" width="5.7109375" style="171" customWidth="1"/>
    <col min="2551" max="2551" width="12.7109375" style="171" customWidth="1"/>
    <col min="2552" max="2552" width="0" style="171" hidden="1" customWidth="1"/>
    <col min="2553" max="2553" width="11.42578125" style="171" customWidth="1"/>
    <col min="2554" max="2557" width="14.7109375" style="171" customWidth="1"/>
    <col min="2558" max="2558" width="16.140625" style="171" customWidth="1"/>
    <col min="2559" max="2559" width="5.7109375" style="171"/>
    <col min="2560" max="2560" width="3.7109375" style="171" customWidth="1"/>
    <col min="2561" max="2561" width="12.7109375" style="171" customWidth="1"/>
    <col min="2562" max="2562" width="1.7109375" style="171" customWidth="1"/>
    <col min="2563" max="2563" width="12.28515625" style="171" customWidth="1"/>
    <col min="2564" max="2564" width="14.7109375" style="171" customWidth="1"/>
    <col min="2565" max="2568" width="7.7109375" style="171" customWidth="1"/>
    <col min="2569" max="2569" width="16.5703125" style="171" customWidth="1"/>
    <col min="2570" max="2570" width="14.7109375" style="171" customWidth="1"/>
    <col min="2571" max="2571" width="3.7109375" style="171" customWidth="1"/>
    <col min="2572" max="2572" width="4.42578125" style="171" customWidth="1"/>
    <col min="2573" max="2573" width="5.5703125" style="171" customWidth="1"/>
    <col min="2574" max="2574" width="6.5703125" style="171" customWidth="1"/>
    <col min="2575" max="2575" width="18.28515625" style="171" customWidth="1"/>
    <col min="2576" max="2584" width="10.7109375" style="171" customWidth="1"/>
    <col min="2585" max="2805" width="14.42578125" style="171" customWidth="1"/>
    <col min="2806" max="2806" width="5.7109375" style="171" customWidth="1"/>
    <col min="2807" max="2807" width="12.7109375" style="171" customWidth="1"/>
    <col min="2808" max="2808" width="0" style="171" hidden="1" customWidth="1"/>
    <col min="2809" max="2809" width="11.42578125" style="171" customWidth="1"/>
    <col min="2810" max="2813" width="14.7109375" style="171" customWidth="1"/>
    <col min="2814" max="2814" width="16.140625" style="171" customWidth="1"/>
    <col min="2815" max="2815" width="5.7109375" style="171"/>
    <col min="2816" max="2816" width="3.7109375" style="171" customWidth="1"/>
    <col min="2817" max="2817" width="12.7109375" style="171" customWidth="1"/>
    <col min="2818" max="2818" width="1.7109375" style="171" customWidth="1"/>
    <col min="2819" max="2819" width="12.28515625" style="171" customWidth="1"/>
    <col min="2820" max="2820" width="14.7109375" style="171" customWidth="1"/>
    <col min="2821" max="2824" width="7.7109375" style="171" customWidth="1"/>
    <col min="2825" max="2825" width="16.5703125" style="171" customWidth="1"/>
    <col min="2826" max="2826" width="14.7109375" style="171" customWidth="1"/>
    <col min="2827" max="2827" width="3.7109375" style="171" customWidth="1"/>
    <col min="2828" max="2828" width="4.42578125" style="171" customWidth="1"/>
    <col min="2829" max="2829" width="5.5703125" style="171" customWidth="1"/>
    <col min="2830" max="2830" width="6.5703125" style="171" customWidth="1"/>
    <col min="2831" max="2831" width="18.28515625" style="171" customWidth="1"/>
    <col min="2832" max="2840" width="10.7109375" style="171" customWidth="1"/>
    <col min="2841" max="3061" width="14.42578125" style="171" customWidth="1"/>
    <col min="3062" max="3062" width="5.7109375" style="171" customWidth="1"/>
    <col min="3063" max="3063" width="12.7109375" style="171" customWidth="1"/>
    <col min="3064" max="3064" width="0" style="171" hidden="1" customWidth="1"/>
    <col min="3065" max="3065" width="11.42578125" style="171" customWidth="1"/>
    <col min="3066" max="3069" width="14.7109375" style="171" customWidth="1"/>
    <col min="3070" max="3070" width="16.140625" style="171" customWidth="1"/>
    <col min="3071" max="3071" width="5.7109375" style="171"/>
    <col min="3072" max="3072" width="3.7109375" style="171" customWidth="1"/>
    <col min="3073" max="3073" width="12.7109375" style="171" customWidth="1"/>
    <col min="3074" max="3074" width="1.7109375" style="171" customWidth="1"/>
    <col min="3075" max="3075" width="12.28515625" style="171" customWidth="1"/>
    <col min="3076" max="3076" width="14.7109375" style="171" customWidth="1"/>
    <col min="3077" max="3080" width="7.7109375" style="171" customWidth="1"/>
    <col min="3081" max="3081" width="16.5703125" style="171" customWidth="1"/>
    <col min="3082" max="3082" width="14.7109375" style="171" customWidth="1"/>
    <col min="3083" max="3083" width="3.7109375" style="171" customWidth="1"/>
    <col min="3084" max="3084" width="4.42578125" style="171" customWidth="1"/>
    <col min="3085" max="3085" width="5.5703125" style="171" customWidth="1"/>
    <col min="3086" max="3086" width="6.5703125" style="171" customWidth="1"/>
    <col min="3087" max="3087" width="18.28515625" style="171" customWidth="1"/>
    <col min="3088" max="3096" width="10.7109375" style="171" customWidth="1"/>
    <col min="3097" max="3317" width="14.42578125" style="171" customWidth="1"/>
    <col min="3318" max="3318" width="5.7109375" style="171" customWidth="1"/>
    <col min="3319" max="3319" width="12.7109375" style="171" customWidth="1"/>
    <col min="3320" max="3320" width="0" style="171" hidden="1" customWidth="1"/>
    <col min="3321" max="3321" width="11.42578125" style="171" customWidth="1"/>
    <col min="3322" max="3325" width="14.7109375" style="171" customWidth="1"/>
    <col min="3326" max="3326" width="16.140625" style="171" customWidth="1"/>
    <col min="3327" max="3327" width="5.7109375" style="171"/>
    <col min="3328" max="3328" width="3.7109375" style="171" customWidth="1"/>
    <col min="3329" max="3329" width="12.7109375" style="171" customWidth="1"/>
    <col min="3330" max="3330" width="1.7109375" style="171" customWidth="1"/>
    <col min="3331" max="3331" width="12.28515625" style="171" customWidth="1"/>
    <col min="3332" max="3332" width="14.7109375" style="171" customWidth="1"/>
    <col min="3333" max="3336" width="7.7109375" style="171" customWidth="1"/>
    <col min="3337" max="3337" width="16.5703125" style="171" customWidth="1"/>
    <col min="3338" max="3338" width="14.7109375" style="171" customWidth="1"/>
    <col min="3339" max="3339" width="3.7109375" style="171" customWidth="1"/>
    <col min="3340" max="3340" width="4.42578125" style="171" customWidth="1"/>
    <col min="3341" max="3341" width="5.5703125" style="171" customWidth="1"/>
    <col min="3342" max="3342" width="6.5703125" style="171" customWidth="1"/>
    <col min="3343" max="3343" width="18.28515625" style="171" customWidth="1"/>
    <col min="3344" max="3352" width="10.7109375" style="171" customWidth="1"/>
    <col min="3353" max="3573" width="14.42578125" style="171" customWidth="1"/>
    <col min="3574" max="3574" width="5.7109375" style="171" customWidth="1"/>
    <col min="3575" max="3575" width="12.7109375" style="171" customWidth="1"/>
    <col min="3576" max="3576" width="0" style="171" hidden="1" customWidth="1"/>
    <col min="3577" max="3577" width="11.42578125" style="171" customWidth="1"/>
    <col min="3578" max="3581" width="14.7109375" style="171" customWidth="1"/>
    <col min="3582" max="3582" width="16.140625" style="171" customWidth="1"/>
    <col min="3583" max="3583" width="5.7109375" style="171"/>
    <col min="3584" max="3584" width="3.7109375" style="171" customWidth="1"/>
    <col min="3585" max="3585" width="12.7109375" style="171" customWidth="1"/>
    <col min="3586" max="3586" width="1.7109375" style="171" customWidth="1"/>
    <col min="3587" max="3587" width="12.28515625" style="171" customWidth="1"/>
    <col min="3588" max="3588" width="14.7109375" style="171" customWidth="1"/>
    <col min="3589" max="3592" width="7.7109375" style="171" customWidth="1"/>
    <col min="3593" max="3593" width="16.5703125" style="171" customWidth="1"/>
    <col min="3594" max="3594" width="14.7109375" style="171" customWidth="1"/>
    <col min="3595" max="3595" width="3.7109375" style="171" customWidth="1"/>
    <col min="3596" max="3596" width="4.42578125" style="171" customWidth="1"/>
    <col min="3597" max="3597" width="5.5703125" style="171" customWidth="1"/>
    <col min="3598" max="3598" width="6.5703125" style="171" customWidth="1"/>
    <col min="3599" max="3599" width="18.28515625" style="171" customWidth="1"/>
    <col min="3600" max="3608" width="10.7109375" style="171" customWidth="1"/>
    <col min="3609" max="3829" width="14.42578125" style="171" customWidth="1"/>
    <col min="3830" max="3830" width="5.7109375" style="171" customWidth="1"/>
    <col min="3831" max="3831" width="12.7109375" style="171" customWidth="1"/>
    <col min="3832" max="3832" width="0" style="171" hidden="1" customWidth="1"/>
    <col min="3833" max="3833" width="11.42578125" style="171" customWidth="1"/>
    <col min="3834" max="3837" width="14.7109375" style="171" customWidth="1"/>
    <col min="3838" max="3838" width="16.140625" style="171" customWidth="1"/>
    <col min="3839" max="3839" width="5.7109375" style="171"/>
    <col min="3840" max="3840" width="3.7109375" style="171" customWidth="1"/>
    <col min="3841" max="3841" width="12.7109375" style="171" customWidth="1"/>
    <col min="3842" max="3842" width="1.7109375" style="171" customWidth="1"/>
    <col min="3843" max="3843" width="12.28515625" style="171" customWidth="1"/>
    <col min="3844" max="3844" width="14.7109375" style="171" customWidth="1"/>
    <col min="3845" max="3848" width="7.7109375" style="171" customWidth="1"/>
    <col min="3849" max="3849" width="16.5703125" style="171" customWidth="1"/>
    <col min="3850" max="3850" width="14.7109375" style="171" customWidth="1"/>
    <col min="3851" max="3851" width="3.7109375" style="171" customWidth="1"/>
    <col min="3852" max="3852" width="4.42578125" style="171" customWidth="1"/>
    <col min="3853" max="3853" width="5.5703125" style="171" customWidth="1"/>
    <col min="3854" max="3854" width="6.5703125" style="171" customWidth="1"/>
    <col min="3855" max="3855" width="18.28515625" style="171" customWidth="1"/>
    <col min="3856" max="3864" width="10.7109375" style="171" customWidth="1"/>
    <col min="3865" max="4085" width="14.42578125" style="171" customWidth="1"/>
    <col min="4086" max="4086" width="5.7109375" style="171" customWidth="1"/>
    <col min="4087" max="4087" width="12.7109375" style="171" customWidth="1"/>
    <col min="4088" max="4088" width="0" style="171" hidden="1" customWidth="1"/>
    <col min="4089" max="4089" width="11.42578125" style="171" customWidth="1"/>
    <col min="4090" max="4093" width="14.7109375" style="171" customWidth="1"/>
    <col min="4094" max="4094" width="16.140625" style="171" customWidth="1"/>
    <col min="4095" max="4095" width="5.7109375" style="171"/>
    <col min="4096" max="4096" width="3.7109375" style="171" customWidth="1"/>
    <col min="4097" max="4097" width="12.7109375" style="171" customWidth="1"/>
    <col min="4098" max="4098" width="1.7109375" style="171" customWidth="1"/>
    <col min="4099" max="4099" width="12.28515625" style="171" customWidth="1"/>
    <col min="4100" max="4100" width="14.7109375" style="171" customWidth="1"/>
    <col min="4101" max="4104" width="7.7109375" style="171" customWidth="1"/>
    <col min="4105" max="4105" width="16.5703125" style="171" customWidth="1"/>
    <col min="4106" max="4106" width="14.7109375" style="171" customWidth="1"/>
    <col min="4107" max="4107" width="3.7109375" style="171" customWidth="1"/>
    <col min="4108" max="4108" width="4.42578125" style="171" customWidth="1"/>
    <col min="4109" max="4109" width="5.5703125" style="171" customWidth="1"/>
    <col min="4110" max="4110" width="6.5703125" style="171" customWidth="1"/>
    <col min="4111" max="4111" width="18.28515625" style="171" customWidth="1"/>
    <col min="4112" max="4120" width="10.7109375" style="171" customWidth="1"/>
    <col min="4121" max="4341" width="14.42578125" style="171" customWidth="1"/>
    <col min="4342" max="4342" width="5.7109375" style="171" customWidth="1"/>
    <col min="4343" max="4343" width="12.7109375" style="171" customWidth="1"/>
    <col min="4344" max="4344" width="0" style="171" hidden="1" customWidth="1"/>
    <col min="4345" max="4345" width="11.42578125" style="171" customWidth="1"/>
    <col min="4346" max="4349" width="14.7109375" style="171" customWidth="1"/>
    <col min="4350" max="4350" width="16.140625" style="171" customWidth="1"/>
    <col min="4351" max="4351" width="5.7109375" style="171"/>
    <col min="4352" max="4352" width="3.7109375" style="171" customWidth="1"/>
    <col min="4353" max="4353" width="12.7109375" style="171" customWidth="1"/>
    <col min="4354" max="4354" width="1.7109375" style="171" customWidth="1"/>
    <col min="4355" max="4355" width="12.28515625" style="171" customWidth="1"/>
    <col min="4356" max="4356" width="14.7109375" style="171" customWidth="1"/>
    <col min="4357" max="4360" width="7.7109375" style="171" customWidth="1"/>
    <col min="4361" max="4361" width="16.5703125" style="171" customWidth="1"/>
    <col min="4362" max="4362" width="14.7109375" style="171" customWidth="1"/>
    <col min="4363" max="4363" width="3.7109375" style="171" customWidth="1"/>
    <col min="4364" max="4364" width="4.42578125" style="171" customWidth="1"/>
    <col min="4365" max="4365" width="5.5703125" style="171" customWidth="1"/>
    <col min="4366" max="4366" width="6.5703125" style="171" customWidth="1"/>
    <col min="4367" max="4367" width="18.28515625" style="171" customWidth="1"/>
    <col min="4368" max="4376" width="10.7109375" style="171" customWidth="1"/>
    <col min="4377" max="4597" width="14.42578125" style="171" customWidth="1"/>
    <col min="4598" max="4598" width="5.7109375" style="171" customWidth="1"/>
    <col min="4599" max="4599" width="12.7109375" style="171" customWidth="1"/>
    <col min="4600" max="4600" width="0" style="171" hidden="1" customWidth="1"/>
    <col min="4601" max="4601" width="11.42578125" style="171" customWidth="1"/>
    <col min="4602" max="4605" width="14.7109375" style="171" customWidth="1"/>
    <col min="4606" max="4606" width="16.140625" style="171" customWidth="1"/>
    <col min="4607" max="4607" width="5.7109375" style="171"/>
    <col min="4608" max="4608" width="3.7109375" style="171" customWidth="1"/>
    <col min="4609" max="4609" width="12.7109375" style="171" customWidth="1"/>
    <col min="4610" max="4610" width="1.7109375" style="171" customWidth="1"/>
    <col min="4611" max="4611" width="12.28515625" style="171" customWidth="1"/>
    <col min="4612" max="4612" width="14.7109375" style="171" customWidth="1"/>
    <col min="4613" max="4616" width="7.7109375" style="171" customWidth="1"/>
    <col min="4617" max="4617" width="16.5703125" style="171" customWidth="1"/>
    <col min="4618" max="4618" width="14.7109375" style="171" customWidth="1"/>
    <col min="4619" max="4619" width="3.7109375" style="171" customWidth="1"/>
    <col min="4620" max="4620" width="4.42578125" style="171" customWidth="1"/>
    <col min="4621" max="4621" width="5.5703125" style="171" customWidth="1"/>
    <col min="4622" max="4622" width="6.5703125" style="171" customWidth="1"/>
    <col min="4623" max="4623" width="18.28515625" style="171" customWidth="1"/>
    <col min="4624" max="4632" width="10.7109375" style="171" customWidth="1"/>
    <col min="4633" max="4853" width="14.42578125" style="171" customWidth="1"/>
    <col min="4854" max="4854" width="5.7109375" style="171" customWidth="1"/>
    <col min="4855" max="4855" width="12.7109375" style="171" customWidth="1"/>
    <col min="4856" max="4856" width="0" style="171" hidden="1" customWidth="1"/>
    <col min="4857" max="4857" width="11.42578125" style="171" customWidth="1"/>
    <col min="4858" max="4861" width="14.7109375" style="171" customWidth="1"/>
    <col min="4862" max="4862" width="16.140625" style="171" customWidth="1"/>
    <col min="4863" max="4863" width="5.7109375" style="171"/>
    <col min="4864" max="4864" width="3.7109375" style="171" customWidth="1"/>
    <col min="4865" max="4865" width="12.7109375" style="171" customWidth="1"/>
    <col min="4866" max="4866" width="1.7109375" style="171" customWidth="1"/>
    <col min="4867" max="4867" width="12.28515625" style="171" customWidth="1"/>
    <col min="4868" max="4868" width="14.7109375" style="171" customWidth="1"/>
    <col min="4869" max="4872" width="7.7109375" style="171" customWidth="1"/>
    <col min="4873" max="4873" width="16.5703125" style="171" customWidth="1"/>
    <col min="4874" max="4874" width="14.7109375" style="171" customWidth="1"/>
    <col min="4875" max="4875" width="3.7109375" style="171" customWidth="1"/>
    <col min="4876" max="4876" width="4.42578125" style="171" customWidth="1"/>
    <col min="4877" max="4877" width="5.5703125" style="171" customWidth="1"/>
    <col min="4878" max="4878" width="6.5703125" style="171" customWidth="1"/>
    <col min="4879" max="4879" width="18.28515625" style="171" customWidth="1"/>
    <col min="4880" max="4888" width="10.7109375" style="171" customWidth="1"/>
    <col min="4889" max="5109" width="14.42578125" style="171" customWidth="1"/>
    <col min="5110" max="5110" width="5.7109375" style="171" customWidth="1"/>
    <col min="5111" max="5111" width="12.7109375" style="171" customWidth="1"/>
    <col min="5112" max="5112" width="0" style="171" hidden="1" customWidth="1"/>
    <col min="5113" max="5113" width="11.42578125" style="171" customWidth="1"/>
    <col min="5114" max="5117" width="14.7109375" style="171" customWidth="1"/>
    <col min="5118" max="5118" width="16.140625" style="171" customWidth="1"/>
    <col min="5119" max="5119" width="5.7109375" style="171"/>
    <col min="5120" max="5120" width="3.7109375" style="171" customWidth="1"/>
    <col min="5121" max="5121" width="12.7109375" style="171" customWidth="1"/>
    <col min="5122" max="5122" width="1.7109375" style="171" customWidth="1"/>
    <col min="5123" max="5123" width="12.28515625" style="171" customWidth="1"/>
    <col min="5124" max="5124" width="14.7109375" style="171" customWidth="1"/>
    <col min="5125" max="5128" width="7.7109375" style="171" customWidth="1"/>
    <col min="5129" max="5129" width="16.5703125" style="171" customWidth="1"/>
    <col min="5130" max="5130" width="14.7109375" style="171" customWidth="1"/>
    <col min="5131" max="5131" width="3.7109375" style="171" customWidth="1"/>
    <col min="5132" max="5132" width="4.42578125" style="171" customWidth="1"/>
    <col min="5133" max="5133" width="5.5703125" style="171" customWidth="1"/>
    <col min="5134" max="5134" width="6.5703125" style="171" customWidth="1"/>
    <col min="5135" max="5135" width="18.28515625" style="171" customWidth="1"/>
    <col min="5136" max="5144" width="10.7109375" style="171" customWidth="1"/>
    <col min="5145" max="5365" width="14.42578125" style="171" customWidth="1"/>
    <col min="5366" max="5366" width="5.7109375" style="171" customWidth="1"/>
    <col min="5367" max="5367" width="12.7109375" style="171" customWidth="1"/>
    <col min="5368" max="5368" width="0" style="171" hidden="1" customWidth="1"/>
    <col min="5369" max="5369" width="11.42578125" style="171" customWidth="1"/>
    <col min="5370" max="5373" width="14.7109375" style="171" customWidth="1"/>
    <col min="5374" max="5374" width="16.140625" style="171" customWidth="1"/>
    <col min="5375" max="5375" width="5.7109375" style="171"/>
    <col min="5376" max="5376" width="3.7109375" style="171" customWidth="1"/>
    <col min="5377" max="5377" width="12.7109375" style="171" customWidth="1"/>
    <col min="5378" max="5378" width="1.7109375" style="171" customWidth="1"/>
    <col min="5379" max="5379" width="12.28515625" style="171" customWidth="1"/>
    <col min="5380" max="5380" width="14.7109375" style="171" customWidth="1"/>
    <col min="5381" max="5384" width="7.7109375" style="171" customWidth="1"/>
    <col min="5385" max="5385" width="16.5703125" style="171" customWidth="1"/>
    <col min="5386" max="5386" width="14.7109375" style="171" customWidth="1"/>
    <col min="5387" max="5387" width="3.7109375" style="171" customWidth="1"/>
    <col min="5388" max="5388" width="4.42578125" style="171" customWidth="1"/>
    <col min="5389" max="5389" width="5.5703125" style="171" customWidth="1"/>
    <col min="5390" max="5390" width="6.5703125" style="171" customWidth="1"/>
    <col min="5391" max="5391" width="18.28515625" style="171" customWidth="1"/>
    <col min="5392" max="5400" width="10.7109375" style="171" customWidth="1"/>
    <col min="5401" max="5621" width="14.42578125" style="171" customWidth="1"/>
    <col min="5622" max="5622" width="5.7109375" style="171" customWidth="1"/>
    <col min="5623" max="5623" width="12.7109375" style="171" customWidth="1"/>
    <col min="5624" max="5624" width="0" style="171" hidden="1" customWidth="1"/>
    <col min="5625" max="5625" width="11.42578125" style="171" customWidth="1"/>
    <col min="5626" max="5629" width="14.7109375" style="171" customWidth="1"/>
    <col min="5630" max="5630" width="16.140625" style="171" customWidth="1"/>
    <col min="5631" max="5631" width="5.7109375" style="171"/>
    <col min="5632" max="5632" width="3.7109375" style="171" customWidth="1"/>
    <col min="5633" max="5633" width="12.7109375" style="171" customWidth="1"/>
    <col min="5634" max="5634" width="1.7109375" style="171" customWidth="1"/>
    <col min="5635" max="5635" width="12.28515625" style="171" customWidth="1"/>
    <col min="5636" max="5636" width="14.7109375" style="171" customWidth="1"/>
    <col min="5637" max="5640" width="7.7109375" style="171" customWidth="1"/>
    <col min="5641" max="5641" width="16.5703125" style="171" customWidth="1"/>
    <col min="5642" max="5642" width="14.7109375" style="171" customWidth="1"/>
    <col min="5643" max="5643" width="3.7109375" style="171" customWidth="1"/>
    <col min="5644" max="5644" width="4.42578125" style="171" customWidth="1"/>
    <col min="5645" max="5645" width="5.5703125" style="171" customWidth="1"/>
    <col min="5646" max="5646" width="6.5703125" style="171" customWidth="1"/>
    <col min="5647" max="5647" width="18.28515625" style="171" customWidth="1"/>
    <col min="5648" max="5656" width="10.7109375" style="171" customWidth="1"/>
    <col min="5657" max="5877" width="14.42578125" style="171" customWidth="1"/>
    <col min="5878" max="5878" width="5.7109375" style="171" customWidth="1"/>
    <col min="5879" max="5879" width="12.7109375" style="171" customWidth="1"/>
    <col min="5880" max="5880" width="0" style="171" hidden="1" customWidth="1"/>
    <col min="5881" max="5881" width="11.42578125" style="171" customWidth="1"/>
    <col min="5882" max="5885" width="14.7109375" style="171" customWidth="1"/>
    <col min="5886" max="5886" width="16.140625" style="171" customWidth="1"/>
    <col min="5887" max="5887" width="5.7109375" style="171"/>
    <col min="5888" max="5888" width="3.7109375" style="171" customWidth="1"/>
    <col min="5889" max="5889" width="12.7109375" style="171" customWidth="1"/>
    <col min="5890" max="5890" width="1.7109375" style="171" customWidth="1"/>
    <col min="5891" max="5891" width="12.28515625" style="171" customWidth="1"/>
    <col min="5892" max="5892" width="14.7109375" style="171" customWidth="1"/>
    <col min="5893" max="5896" width="7.7109375" style="171" customWidth="1"/>
    <col min="5897" max="5897" width="16.5703125" style="171" customWidth="1"/>
    <col min="5898" max="5898" width="14.7109375" style="171" customWidth="1"/>
    <col min="5899" max="5899" width="3.7109375" style="171" customWidth="1"/>
    <col min="5900" max="5900" width="4.42578125" style="171" customWidth="1"/>
    <col min="5901" max="5901" width="5.5703125" style="171" customWidth="1"/>
    <col min="5902" max="5902" width="6.5703125" style="171" customWidth="1"/>
    <col min="5903" max="5903" width="18.28515625" style="171" customWidth="1"/>
    <col min="5904" max="5912" width="10.7109375" style="171" customWidth="1"/>
    <col min="5913" max="6133" width="14.42578125" style="171" customWidth="1"/>
    <col min="6134" max="6134" width="5.7109375" style="171" customWidth="1"/>
    <col min="6135" max="6135" width="12.7109375" style="171" customWidth="1"/>
    <col min="6136" max="6136" width="0" style="171" hidden="1" customWidth="1"/>
    <col min="6137" max="6137" width="11.42578125" style="171" customWidth="1"/>
    <col min="6138" max="6141" width="14.7109375" style="171" customWidth="1"/>
    <col min="6142" max="6142" width="16.140625" style="171" customWidth="1"/>
    <col min="6143" max="6143" width="5.7109375" style="171"/>
    <col min="6144" max="6144" width="3.7109375" style="171" customWidth="1"/>
    <col min="6145" max="6145" width="12.7109375" style="171" customWidth="1"/>
    <col min="6146" max="6146" width="1.7109375" style="171" customWidth="1"/>
    <col min="6147" max="6147" width="12.28515625" style="171" customWidth="1"/>
    <col min="6148" max="6148" width="14.7109375" style="171" customWidth="1"/>
    <col min="6149" max="6152" width="7.7109375" style="171" customWidth="1"/>
    <col min="6153" max="6153" width="16.5703125" style="171" customWidth="1"/>
    <col min="6154" max="6154" width="14.7109375" style="171" customWidth="1"/>
    <col min="6155" max="6155" width="3.7109375" style="171" customWidth="1"/>
    <col min="6156" max="6156" width="4.42578125" style="171" customWidth="1"/>
    <col min="6157" max="6157" width="5.5703125" style="171" customWidth="1"/>
    <col min="6158" max="6158" width="6.5703125" style="171" customWidth="1"/>
    <col min="6159" max="6159" width="18.28515625" style="171" customWidth="1"/>
    <col min="6160" max="6168" width="10.7109375" style="171" customWidth="1"/>
    <col min="6169" max="6389" width="14.42578125" style="171" customWidth="1"/>
    <col min="6390" max="6390" width="5.7109375" style="171" customWidth="1"/>
    <col min="6391" max="6391" width="12.7109375" style="171" customWidth="1"/>
    <col min="6392" max="6392" width="0" style="171" hidden="1" customWidth="1"/>
    <col min="6393" max="6393" width="11.42578125" style="171" customWidth="1"/>
    <col min="6394" max="6397" width="14.7109375" style="171" customWidth="1"/>
    <col min="6398" max="6398" width="16.140625" style="171" customWidth="1"/>
    <col min="6399" max="6399" width="5.7109375" style="171"/>
    <col min="6400" max="6400" width="3.7109375" style="171" customWidth="1"/>
    <col min="6401" max="6401" width="12.7109375" style="171" customWidth="1"/>
    <col min="6402" max="6402" width="1.7109375" style="171" customWidth="1"/>
    <col min="6403" max="6403" width="12.28515625" style="171" customWidth="1"/>
    <col min="6404" max="6404" width="14.7109375" style="171" customWidth="1"/>
    <col min="6405" max="6408" width="7.7109375" style="171" customWidth="1"/>
    <col min="6409" max="6409" width="16.5703125" style="171" customWidth="1"/>
    <col min="6410" max="6410" width="14.7109375" style="171" customWidth="1"/>
    <col min="6411" max="6411" width="3.7109375" style="171" customWidth="1"/>
    <col min="6412" max="6412" width="4.42578125" style="171" customWidth="1"/>
    <col min="6413" max="6413" width="5.5703125" style="171" customWidth="1"/>
    <col min="6414" max="6414" width="6.5703125" style="171" customWidth="1"/>
    <col min="6415" max="6415" width="18.28515625" style="171" customWidth="1"/>
    <col min="6416" max="6424" width="10.7109375" style="171" customWidth="1"/>
    <col min="6425" max="6645" width="14.42578125" style="171" customWidth="1"/>
    <col min="6646" max="6646" width="5.7109375" style="171" customWidth="1"/>
    <col min="6647" max="6647" width="12.7109375" style="171" customWidth="1"/>
    <col min="6648" max="6648" width="0" style="171" hidden="1" customWidth="1"/>
    <col min="6649" max="6649" width="11.42578125" style="171" customWidth="1"/>
    <col min="6650" max="6653" width="14.7109375" style="171" customWidth="1"/>
    <col min="6654" max="6654" width="16.140625" style="171" customWidth="1"/>
    <col min="6655" max="6655" width="5.7109375" style="171"/>
    <col min="6656" max="6656" width="3.7109375" style="171" customWidth="1"/>
    <col min="6657" max="6657" width="12.7109375" style="171" customWidth="1"/>
    <col min="6658" max="6658" width="1.7109375" style="171" customWidth="1"/>
    <col min="6659" max="6659" width="12.28515625" style="171" customWidth="1"/>
    <col min="6660" max="6660" width="14.7109375" style="171" customWidth="1"/>
    <col min="6661" max="6664" width="7.7109375" style="171" customWidth="1"/>
    <col min="6665" max="6665" width="16.5703125" style="171" customWidth="1"/>
    <col min="6666" max="6666" width="14.7109375" style="171" customWidth="1"/>
    <col min="6667" max="6667" width="3.7109375" style="171" customWidth="1"/>
    <col min="6668" max="6668" width="4.42578125" style="171" customWidth="1"/>
    <col min="6669" max="6669" width="5.5703125" style="171" customWidth="1"/>
    <col min="6670" max="6670" width="6.5703125" style="171" customWidth="1"/>
    <col min="6671" max="6671" width="18.28515625" style="171" customWidth="1"/>
    <col min="6672" max="6680" width="10.7109375" style="171" customWidth="1"/>
    <col min="6681" max="6901" width="14.42578125" style="171" customWidth="1"/>
    <col min="6902" max="6902" width="5.7109375" style="171" customWidth="1"/>
    <col min="6903" max="6903" width="12.7109375" style="171" customWidth="1"/>
    <col min="6904" max="6904" width="0" style="171" hidden="1" customWidth="1"/>
    <col min="6905" max="6905" width="11.42578125" style="171" customWidth="1"/>
    <col min="6906" max="6909" width="14.7109375" style="171" customWidth="1"/>
    <col min="6910" max="6910" width="16.140625" style="171" customWidth="1"/>
    <col min="6911" max="6911" width="5.7109375" style="171"/>
    <col min="6912" max="6912" width="3.7109375" style="171" customWidth="1"/>
    <col min="6913" max="6913" width="12.7109375" style="171" customWidth="1"/>
    <col min="6914" max="6914" width="1.7109375" style="171" customWidth="1"/>
    <col min="6915" max="6915" width="12.28515625" style="171" customWidth="1"/>
    <col min="6916" max="6916" width="14.7109375" style="171" customWidth="1"/>
    <col min="6917" max="6920" width="7.7109375" style="171" customWidth="1"/>
    <col min="6921" max="6921" width="16.5703125" style="171" customWidth="1"/>
    <col min="6922" max="6922" width="14.7109375" style="171" customWidth="1"/>
    <col min="6923" max="6923" width="3.7109375" style="171" customWidth="1"/>
    <col min="6924" max="6924" width="4.42578125" style="171" customWidth="1"/>
    <col min="6925" max="6925" width="5.5703125" style="171" customWidth="1"/>
    <col min="6926" max="6926" width="6.5703125" style="171" customWidth="1"/>
    <col min="6927" max="6927" width="18.28515625" style="171" customWidth="1"/>
    <col min="6928" max="6936" width="10.7109375" style="171" customWidth="1"/>
    <col min="6937" max="7157" width="14.42578125" style="171" customWidth="1"/>
    <col min="7158" max="7158" width="5.7109375" style="171" customWidth="1"/>
    <col min="7159" max="7159" width="12.7109375" style="171" customWidth="1"/>
    <col min="7160" max="7160" width="0" style="171" hidden="1" customWidth="1"/>
    <col min="7161" max="7161" width="11.42578125" style="171" customWidth="1"/>
    <col min="7162" max="7165" width="14.7109375" style="171" customWidth="1"/>
    <col min="7166" max="7166" width="16.140625" style="171" customWidth="1"/>
    <col min="7167" max="7167" width="5.7109375" style="171"/>
    <col min="7168" max="7168" width="3.7109375" style="171" customWidth="1"/>
    <col min="7169" max="7169" width="12.7109375" style="171" customWidth="1"/>
    <col min="7170" max="7170" width="1.7109375" style="171" customWidth="1"/>
    <col min="7171" max="7171" width="12.28515625" style="171" customWidth="1"/>
    <col min="7172" max="7172" width="14.7109375" style="171" customWidth="1"/>
    <col min="7173" max="7176" width="7.7109375" style="171" customWidth="1"/>
    <col min="7177" max="7177" width="16.5703125" style="171" customWidth="1"/>
    <col min="7178" max="7178" width="14.7109375" style="171" customWidth="1"/>
    <col min="7179" max="7179" width="3.7109375" style="171" customWidth="1"/>
    <col min="7180" max="7180" width="4.42578125" style="171" customWidth="1"/>
    <col min="7181" max="7181" width="5.5703125" style="171" customWidth="1"/>
    <col min="7182" max="7182" width="6.5703125" style="171" customWidth="1"/>
    <col min="7183" max="7183" width="18.28515625" style="171" customWidth="1"/>
    <col min="7184" max="7192" width="10.7109375" style="171" customWidth="1"/>
    <col min="7193" max="7413" width="14.42578125" style="171" customWidth="1"/>
    <col min="7414" max="7414" width="5.7109375" style="171" customWidth="1"/>
    <col min="7415" max="7415" width="12.7109375" style="171" customWidth="1"/>
    <col min="7416" max="7416" width="0" style="171" hidden="1" customWidth="1"/>
    <col min="7417" max="7417" width="11.42578125" style="171" customWidth="1"/>
    <col min="7418" max="7421" width="14.7109375" style="171" customWidth="1"/>
    <col min="7422" max="7422" width="16.140625" style="171" customWidth="1"/>
    <col min="7423" max="7423" width="5.7109375" style="171"/>
    <col min="7424" max="7424" width="3.7109375" style="171" customWidth="1"/>
    <col min="7425" max="7425" width="12.7109375" style="171" customWidth="1"/>
    <col min="7426" max="7426" width="1.7109375" style="171" customWidth="1"/>
    <col min="7427" max="7427" width="12.28515625" style="171" customWidth="1"/>
    <col min="7428" max="7428" width="14.7109375" style="171" customWidth="1"/>
    <col min="7429" max="7432" width="7.7109375" style="171" customWidth="1"/>
    <col min="7433" max="7433" width="16.5703125" style="171" customWidth="1"/>
    <col min="7434" max="7434" width="14.7109375" style="171" customWidth="1"/>
    <col min="7435" max="7435" width="3.7109375" style="171" customWidth="1"/>
    <col min="7436" max="7436" width="4.42578125" style="171" customWidth="1"/>
    <col min="7437" max="7437" width="5.5703125" style="171" customWidth="1"/>
    <col min="7438" max="7438" width="6.5703125" style="171" customWidth="1"/>
    <col min="7439" max="7439" width="18.28515625" style="171" customWidth="1"/>
    <col min="7440" max="7448" width="10.7109375" style="171" customWidth="1"/>
    <col min="7449" max="7669" width="14.42578125" style="171" customWidth="1"/>
    <col min="7670" max="7670" width="5.7109375" style="171" customWidth="1"/>
    <col min="7671" max="7671" width="12.7109375" style="171" customWidth="1"/>
    <col min="7672" max="7672" width="0" style="171" hidden="1" customWidth="1"/>
    <col min="7673" max="7673" width="11.42578125" style="171" customWidth="1"/>
    <col min="7674" max="7677" width="14.7109375" style="171" customWidth="1"/>
    <col min="7678" max="7678" width="16.140625" style="171" customWidth="1"/>
    <col min="7679" max="7679" width="5.7109375" style="171"/>
    <col min="7680" max="7680" width="3.7109375" style="171" customWidth="1"/>
    <col min="7681" max="7681" width="12.7109375" style="171" customWidth="1"/>
    <col min="7682" max="7682" width="1.7109375" style="171" customWidth="1"/>
    <col min="7683" max="7683" width="12.28515625" style="171" customWidth="1"/>
    <col min="7684" max="7684" width="14.7109375" style="171" customWidth="1"/>
    <col min="7685" max="7688" width="7.7109375" style="171" customWidth="1"/>
    <col min="7689" max="7689" width="16.5703125" style="171" customWidth="1"/>
    <col min="7690" max="7690" width="14.7109375" style="171" customWidth="1"/>
    <col min="7691" max="7691" width="3.7109375" style="171" customWidth="1"/>
    <col min="7692" max="7692" width="4.42578125" style="171" customWidth="1"/>
    <col min="7693" max="7693" width="5.5703125" style="171" customWidth="1"/>
    <col min="7694" max="7694" width="6.5703125" style="171" customWidth="1"/>
    <col min="7695" max="7695" width="18.28515625" style="171" customWidth="1"/>
    <col min="7696" max="7704" width="10.7109375" style="171" customWidth="1"/>
    <col min="7705" max="7925" width="14.42578125" style="171" customWidth="1"/>
    <col min="7926" max="7926" width="5.7109375" style="171" customWidth="1"/>
    <col min="7927" max="7927" width="12.7109375" style="171" customWidth="1"/>
    <col min="7928" max="7928" width="0" style="171" hidden="1" customWidth="1"/>
    <col min="7929" max="7929" width="11.42578125" style="171" customWidth="1"/>
    <col min="7930" max="7933" width="14.7109375" style="171" customWidth="1"/>
    <col min="7934" max="7934" width="16.140625" style="171" customWidth="1"/>
    <col min="7935" max="7935" width="5.7109375" style="171"/>
    <col min="7936" max="7936" width="3.7109375" style="171" customWidth="1"/>
    <col min="7937" max="7937" width="12.7109375" style="171" customWidth="1"/>
    <col min="7938" max="7938" width="1.7109375" style="171" customWidth="1"/>
    <col min="7939" max="7939" width="12.28515625" style="171" customWidth="1"/>
    <col min="7940" max="7940" width="14.7109375" style="171" customWidth="1"/>
    <col min="7941" max="7944" width="7.7109375" style="171" customWidth="1"/>
    <col min="7945" max="7945" width="16.5703125" style="171" customWidth="1"/>
    <col min="7946" max="7946" width="14.7109375" style="171" customWidth="1"/>
    <col min="7947" max="7947" width="3.7109375" style="171" customWidth="1"/>
    <col min="7948" max="7948" width="4.42578125" style="171" customWidth="1"/>
    <col min="7949" max="7949" width="5.5703125" style="171" customWidth="1"/>
    <col min="7950" max="7950" width="6.5703125" style="171" customWidth="1"/>
    <col min="7951" max="7951" width="18.28515625" style="171" customWidth="1"/>
    <col min="7952" max="7960" width="10.7109375" style="171" customWidth="1"/>
    <col min="7961" max="8181" width="14.42578125" style="171" customWidth="1"/>
    <col min="8182" max="8182" width="5.7109375" style="171" customWidth="1"/>
    <col min="8183" max="8183" width="12.7109375" style="171" customWidth="1"/>
    <col min="8184" max="8184" width="0" style="171" hidden="1" customWidth="1"/>
    <col min="8185" max="8185" width="11.42578125" style="171" customWidth="1"/>
    <col min="8186" max="8189" width="14.7109375" style="171" customWidth="1"/>
    <col min="8190" max="8190" width="16.140625" style="171" customWidth="1"/>
    <col min="8191" max="8191" width="5.7109375" style="171"/>
    <col min="8192" max="8192" width="3.7109375" style="171" customWidth="1"/>
    <col min="8193" max="8193" width="12.7109375" style="171" customWidth="1"/>
    <col min="8194" max="8194" width="1.7109375" style="171" customWidth="1"/>
    <col min="8195" max="8195" width="12.28515625" style="171" customWidth="1"/>
    <col min="8196" max="8196" width="14.7109375" style="171" customWidth="1"/>
    <col min="8197" max="8200" width="7.7109375" style="171" customWidth="1"/>
    <col min="8201" max="8201" width="16.5703125" style="171" customWidth="1"/>
    <col min="8202" max="8202" width="14.7109375" style="171" customWidth="1"/>
    <col min="8203" max="8203" width="3.7109375" style="171" customWidth="1"/>
    <col min="8204" max="8204" width="4.42578125" style="171" customWidth="1"/>
    <col min="8205" max="8205" width="5.5703125" style="171" customWidth="1"/>
    <col min="8206" max="8206" width="6.5703125" style="171" customWidth="1"/>
    <col min="8207" max="8207" width="18.28515625" style="171" customWidth="1"/>
    <col min="8208" max="8216" width="10.7109375" style="171" customWidth="1"/>
    <col min="8217" max="8437" width="14.42578125" style="171" customWidth="1"/>
    <col min="8438" max="8438" width="5.7109375" style="171" customWidth="1"/>
    <col min="8439" max="8439" width="12.7109375" style="171" customWidth="1"/>
    <col min="8440" max="8440" width="0" style="171" hidden="1" customWidth="1"/>
    <col min="8441" max="8441" width="11.42578125" style="171" customWidth="1"/>
    <col min="8442" max="8445" width="14.7109375" style="171" customWidth="1"/>
    <col min="8446" max="8446" width="16.140625" style="171" customWidth="1"/>
    <col min="8447" max="8447" width="5.7109375" style="171"/>
    <col min="8448" max="8448" width="3.7109375" style="171" customWidth="1"/>
    <col min="8449" max="8449" width="12.7109375" style="171" customWidth="1"/>
    <col min="8450" max="8450" width="1.7109375" style="171" customWidth="1"/>
    <col min="8451" max="8451" width="12.28515625" style="171" customWidth="1"/>
    <col min="8452" max="8452" width="14.7109375" style="171" customWidth="1"/>
    <col min="8453" max="8456" width="7.7109375" style="171" customWidth="1"/>
    <col min="8457" max="8457" width="16.5703125" style="171" customWidth="1"/>
    <col min="8458" max="8458" width="14.7109375" style="171" customWidth="1"/>
    <col min="8459" max="8459" width="3.7109375" style="171" customWidth="1"/>
    <col min="8460" max="8460" width="4.42578125" style="171" customWidth="1"/>
    <col min="8461" max="8461" width="5.5703125" style="171" customWidth="1"/>
    <col min="8462" max="8462" width="6.5703125" style="171" customWidth="1"/>
    <col min="8463" max="8463" width="18.28515625" style="171" customWidth="1"/>
    <col min="8464" max="8472" width="10.7109375" style="171" customWidth="1"/>
    <col min="8473" max="8693" width="14.42578125" style="171" customWidth="1"/>
    <col min="8694" max="8694" width="5.7109375" style="171" customWidth="1"/>
    <col min="8695" max="8695" width="12.7109375" style="171" customWidth="1"/>
    <col min="8696" max="8696" width="0" style="171" hidden="1" customWidth="1"/>
    <col min="8697" max="8697" width="11.42578125" style="171" customWidth="1"/>
    <col min="8698" max="8701" width="14.7109375" style="171" customWidth="1"/>
    <col min="8702" max="8702" width="16.140625" style="171" customWidth="1"/>
    <col min="8703" max="8703" width="5.7109375" style="171"/>
    <col min="8704" max="8704" width="3.7109375" style="171" customWidth="1"/>
    <col min="8705" max="8705" width="12.7109375" style="171" customWidth="1"/>
    <col min="8706" max="8706" width="1.7109375" style="171" customWidth="1"/>
    <col min="8707" max="8707" width="12.28515625" style="171" customWidth="1"/>
    <col min="8708" max="8708" width="14.7109375" style="171" customWidth="1"/>
    <col min="8709" max="8712" width="7.7109375" style="171" customWidth="1"/>
    <col min="8713" max="8713" width="16.5703125" style="171" customWidth="1"/>
    <col min="8714" max="8714" width="14.7109375" style="171" customWidth="1"/>
    <col min="8715" max="8715" width="3.7109375" style="171" customWidth="1"/>
    <col min="8716" max="8716" width="4.42578125" style="171" customWidth="1"/>
    <col min="8717" max="8717" width="5.5703125" style="171" customWidth="1"/>
    <col min="8718" max="8718" width="6.5703125" style="171" customWidth="1"/>
    <col min="8719" max="8719" width="18.28515625" style="171" customWidth="1"/>
    <col min="8720" max="8728" width="10.7109375" style="171" customWidth="1"/>
    <col min="8729" max="8949" width="14.42578125" style="171" customWidth="1"/>
    <col min="8950" max="8950" width="5.7109375" style="171" customWidth="1"/>
    <col min="8951" max="8951" width="12.7109375" style="171" customWidth="1"/>
    <col min="8952" max="8952" width="0" style="171" hidden="1" customWidth="1"/>
    <col min="8953" max="8953" width="11.42578125" style="171" customWidth="1"/>
    <col min="8954" max="8957" width="14.7109375" style="171" customWidth="1"/>
    <col min="8958" max="8958" width="16.140625" style="171" customWidth="1"/>
    <col min="8959" max="8959" width="5.7109375" style="171"/>
    <col min="8960" max="8960" width="3.7109375" style="171" customWidth="1"/>
    <col min="8961" max="8961" width="12.7109375" style="171" customWidth="1"/>
    <col min="8962" max="8962" width="1.7109375" style="171" customWidth="1"/>
    <col min="8963" max="8963" width="12.28515625" style="171" customWidth="1"/>
    <col min="8964" max="8964" width="14.7109375" style="171" customWidth="1"/>
    <col min="8965" max="8968" width="7.7109375" style="171" customWidth="1"/>
    <col min="8969" max="8969" width="16.5703125" style="171" customWidth="1"/>
    <col min="8970" max="8970" width="14.7109375" style="171" customWidth="1"/>
    <col min="8971" max="8971" width="3.7109375" style="171" customWidth="1"/>
    <col min="8972" max="8972" width="4.42578125" style="171" customWidth="1"/>
    <col min="8973" max="8973" width="5.5703125" style="171" customWidth="1"/>
    <col min="8974" max="8974" width="6.5703125" style="171" customWidth="1"/>
    <col min="8975" max="8975" width="18.28515625" style="171" customWidth="1"/>
    <col min="8976" max="8984" width="10.7109375" style="171" customWidth="1"/>
    <col min="8985" max="9205" width="14.42578125" style="171" customWidth="1"/>
    <col min="9206" max="9206" width="5.7109375" style="171" customWidth="1"/>
    <col min="9207" max="9207" width="12.7109375" style="171" customWidth="1"/>
    <col min="9208" max="9208" width="0" style="171" hidden="1" customWidth="1"/>
    <col min="9209" max="9209" width="11.42578125" style="171" customWidth="1"/>
    <col min="9210" max="9213" width="14.7109375" style="171" customWidth="1"/>
    <col min="9214" max="9214" width="16.140625" style="171" customWidth="1"/>
    <col min="9215" max="9215" width="5.7109375" style="171"/>
    <col min="9216" max="9216" width="3.7109375" style="171" customWidth="1"/>
    <col min="9217" max="9217" width="12.7109375" style="171" customWidth="1"/>
    <col min="9218" max="9218" width="1.7109375" style="171" customWidth="1"/>
    <col min="9219" max="9219" width="12.28515625" style="171" customWidth="1"/>
    <col min="9220" max="9220" width="14.7109375" style="171" customWidth="1"/>
    <col min="9221" max="9224" width="7.7109375" style="171" customWidth="1"/>
    <col min="9225" max="9225" width="16.5703125" style="171" customWidth="1"/>
    <col min="9226" max="9226" width="14.7109375" style="171" customWidth="1"/>
    <col min="9227" max="9227" width="3.7109375" style="171" customWidth="1"/>
    <col min="9228" max="9228" width="4.42578125" style="171" customWidth="1"/>
    <col min="9229" max="9229" width="5.5703125" style="171" customWidth="1"/>
    <col min="9230" max="9230" width="6.5703125" style="171" customWidth="1"/>
    <col min="9231" max="9231" width="18.28515625" style="171" customWidth="1"/>
    <col min="9232" max="9240" width="10.7109375" style="171" customWidth="1"/>
    <col min="9241" max="9461" width="14.42578125" style="171" customWidth="1"/>
    <col min="9462" max="9462" width="5.7109375" style="171" customWidth="1"/>
    <col min="9463" max="9463" width="12.7109375" style="171" customWidth="1"/>
    <col min="9464" max="9464" width="0" style="171" hidden="1" customWidth="1"/>
    <col min="9465" max="9465" width="11.42578125" style="171" customWidth="1"/>
    <col min="9466" max="9469" width="14.7109375" style="171" customWidth="1"/>
    <col min="9470" max="9470" width="16.140625" style="171" customWidth="1"/>
    <col min="9471" max="9471" width="5.7109375" style="171"/>
    <col min="9472" max="9472" width="3.7109375" style="171" customWidth="1"/>
    <col min="9473" max="9473" width="12.7109375" style="171" customWidth="1"/>
    <col min="9474" max="9474" width="1.7109375" style="171" customWidth="1"/>
    <col min="9475" max="9475" width="12.28515625" style="171" customWidth="1"/>
    <col min="9476" max="9476" width="14.7109375" style="171" customWidth="1"/>
    <col min="9477" max="9480" width="7.7109375" style="171" customWidth="1"/>
    <col min="9481" max="9481" width="16.5703125" style="171" customWidth="1"/>
    <col min="9482" max="9482" width="14.7109375" style="171" customWidth="1"/>
    <col min="9483" max="9483" width="3.7109375" style="171" customWidth="1"/>
    <col min="9484" max="9484" width="4.42578125" style="171" customWidth="1"/>
    <col min="9485" max="9485" width="5.5703125" style="171" customWidth="1"/>
    <col min="9486" max="9486" width="6.5703125" style="171" customWidth="1"/>
    <col min="9487" max="9487" width="18.28515625" style="171" customWidth="1"/>
    <col min="9488" max="9496" width="10.7109375" style="171" customWidth="1"/>
    <col min="9497" max="9717" width="14.42578125" style="171" customWidth="1"/>
    <col min="9718" max="9718" width="5.7109375" style="171" customWidth="1"/>
    <col min="9719" max="9719" width="12.7109375" style="171" customWidth="1"/>
    <col min="9720" max="9720" width="0" style="171" hidden="1" customWidth="1"/>
    <col min="9721" max="9721" width="11.42578125" style="171" customWidth="1"/>
    <col min="9722" max="9725" width="14.7109375" style="171" customWidth="1"/>
    <col min="9726" max="9726" width="16.140625" style="171" customWidth="1"/>
    <col min="9727" max="9727" width="5.7109375" style="171"/>
    <col min="9728" max="9728" width="3.7109375" style="171" customWidth="1"/>
    <col min="9729" max="9729" width="12.7109375" style="171" customWidth="1"/>
    <col min="9730" max="9730" width="1.7109375" style="171" customWidth="1"/>
    <col min="9731" max="9731" width="12.28515625" style="171" customWidth="1"/>
    <col min="9732" max="9732" width="14.7109375" style="171" customWidth="1"/>
    <col min="9733" max="9736" width="7.7109375" style="171" customWidth="1"/>
    <col min="9737" max="9737" width="16.5703125" style="171" customWidth="1"/>
    <col min="9738" max="9738" width="14.7109375" style="171" customWidth="1"/>
    <col min="9739" max="9739" width="3.7109375" style="171" customWidth="1"/>
    <col min="9740" max="9740" width="4.42578125" style="171" customWidth="1"/>
    <col min="9741" max="9741" width="5.5703125" style="171" customWidth="1"/>
    <col min="9742" max="9742" width="6.5703125" style="171" customWidth="1"/>
    <col min="9743" max="9743" width="18.28515625" style="171" customWidth="1"/>
    <col min="9744" max="9752" width="10.7109375" style="171" customWidth="1"/>
    <col min="9753" max="9973" width="14.42578125" style="171" customWidth="1"/>
    <col min="9974" max="9974" width="5.7109375" style="171" customWidth="1"/>
    <col min="9975" max="9975" width="12.7109375" style="171" customWidth="1"/>
    <col min="9976" max="9976" width="0" style="171" hidden="1" customWidth="1"/>
    <col min="9977" max="9977" width="11.42578125" style="171" customWidth="1"/>
    <col min="9978" max="9981" width="14.7109375" style="171" customWidth="1"/>
    <col min="9982" max="9982" width="16.140625" style="171" customWidth="1"/>
    <col min="9983" max="9983" width="5.7109375" style="171"/>
    <col min="9984" max="9984" width="3.7109375" style="171" customWidth="1"/>
    <col min="9985" max="9985" width="12.7109375" style="171" customWidth="1"/>
    <col min="9986" max="9986" width="1.7109375" style="171" customWidth="1"/>
    <col min="9987" max="9987" width="12.28515625" style="171" customWidth="1"/>
    <col min="9988" max="9988" width="14.7109375" style="171" customWidth="1"/>
    <col min="9989" max="9992" width="7.7109375" style="171" customWidth="1"/>
    <col min="9993" max="9993" width="16.5703125" style="171" customWidth="1"/>
    <col min="9994" max="9994" width="14.7109375" style="171" customWidth="1"/>
    <col min="9995" max="9995" width="3.7109375" style="171" customWidth="1"/>
    <col min="9996" max="9996" width="4.42578125" style="171" customWidth="1"/>
    <col min="9997" max="9997" width="5.5703125" style="171" customWidth="1"/>
    <col min="9998" max="9998" width="6.5703125" style="171" customWidth="1"/>
    <col min="9999" max="9999" width="18.28515625" style="171" customWidth="1"/>
    <col min="10000" max="10008" width="10.7109375" style="171" customWidth="1"/>
    <col min="10009" max="10229" width="14.42578125" style="171" customWidth="1"/>
    <col min="10230" max="10230" width="5.7109375" style="171" customWidth="1"/>
    <col min="10231" max="10231" width="12.7109375" style="171" customWidth="1"/>
    <col min="10232" max="10232" width="0" style="171" hidden="1" customWidth="1"/>
    <col min="10233" max="10233" width="11.42578125" style="171" customWidth="1"/>
    <col min="10234" max="10237" width="14.7109375" style="171" customWidth="1"/>
    <col min="10238" max="10238" width="16.140625" style="171" customWidth="1"/>
    <col min="10239" max="10239" width="5.7109375" style="171"/>
    <col min="10240" max="10240" width="3.7109375" style="171" customWidth="1"/>
    <col min="10241" max="10241" width="12.7109375" style="171" customWidth="1"/>
    <col min="10242" max="10242" width="1.7109375" style="171" customWidth="1"/>
    <col min="10243" max="10243" width="12.28515625" style="171" customWidth="1"/>
    <col min="10244" max="10244" width="14.7109375" style="171" customWidth="1"/>
    <col min="10245" max="10248" width="7.7109375" style="171" customWidth="1"/>
    <col min="10249" max="10249" width="16.5703125" style="171" customWidth="1"/>
    <col min="10250" max="10250" width="14.7109375" style="171" customWidth="1"/>
    <col min="10251" max="10251" width="3.7109375" style="171" customWidth="1"/>
    <col min="10252" max="10252" width="4.42578125" style="171" customWidth="1"/>
    <col min="10253" max="10253" width="5.5703125" style="171" customWidth="1"/>
    <col min="10254" max="10254" width="6.5703125" style="171" customWidth="1"/>
    <col min="10255" max="10255" width="18.28515625" style="171" customWidth="1"/>
    <col min="10256" max="10264" width="10.7109375" style="171" customWidth="1"/>
    <col min="10265" max="10485" width="14.42578125" style="171" customWidth="1"/>
    <col min="10486" max="10486" width="5.7109375" style="171" customWidth="1"/>
    <col min="10487" max="10487" width="12.7109375" style="171" customWidth="1"/>
    <col min="10488" max="10488" width="0" style="171" hidden="1" customWidth="1"/>
    <col min="10489" max="10489" width="11.42578125" style="171" customWidth="1"/>
    <col min="10490" max="10493" width="14.7109375" style="171" customWidth="1"/>
    <col min="10494" max="10494" width="16.140625" style="171" customWidth="1"/>
    <col min="10495" max="10495" width="5.7109375" style="171"/>
    <col min="10496" max="10496" width="3.7109375" style="171" customWidth="1"/>
    <col min="10497" max="10497" width="12.7109375" style="171" customWidth="1"/>
    <col min="10498" max="10498" width="1.7109375" style="171" customWidth="1"/>
    <col min="10499" max="10499" width="12.28515625" style="171" customWidth="1"/>
    <col min="10500" max="10500" width="14.7109375" style="171" customWidth="1"/>
    <col min="10501" max="10504" width="7.7109375" style="171" customWidth="1"/>
    <col min="10505" max="10505" width="16.5703125" style="171" customWidth="1"/>
    <col min="10506" max="10506" width="14.7109375" style="171" customWidth="1"/>
    <col min="10507" max="10507" width="3.7109375" style="171" customWidth="1"/>
    <col min="10508" max="10508" width="4.42578125" style="171" customWidth="1"/>
    <col min="10509" max="10509" width="5.5703125" style="171" customWidth="1"/>
    <col min="10510" max="10510" width="6.5703125" style="171" customWidth="1"/>
    <col min="10511" max="10511" width="18.28515625" style="171" customWidth="1"/>
    <col min="10512" max="10520" width="10.7109375" style="171" customWidth="1"/>
    <col min="10521" max="10741" width="14.42578125" style="171" customWidth="1"/>
    <col min="10742" max="10742" width="5.7109375" style="171" customWidth="1"/>
    <col min="10743" max="10743" width="12.7109375" style="171" customWidth="1"/>
    <col min="10744" max="10744" width="0" style="171" hidden="1" customWidth="1"/>
    <col min="10745" max="10745" width="11.42578125" style="171" customWidth="1"/>
    <col min="10746" max="10749" width="14.7109375" style="171" customWidth="1"/>
    <col min="10750" max="10750" width="16.140625" style="171" customWidth="1"/>
    <col min="10751" max="10751" width="5.7109375" style="171"/>
    <col min="10752" max="10752" width="3.7109375" style="171" customWidth="1"/>
    <col min="10753" max="10753" width="12.7109375" style="171" customWidth="1"/>
    <col min="10754" max="10754" width="1.7109375" style="171" customWidth="1"/>
    <col min="10755" max="10755" width="12.28515625" style="171" customWidth="1"/>
    <col min="10756" max="10756" width="14.7109375" style="171" customWidth="1"/>
    <col min="10757" max="10760" width="7.7109375" style="171" customWidth="1"/>
    <col min="10761" max="10761" width="16.5703125" style="171" customWidth="1"/>
    <col min="10762" max="10762" width="14.7109375" style="171" customWidth="1"/>
    <col min="10763" max="10763" width="3.7109375" style="171" customWidth="1"/>
    <col min="10764" max="10764" width="4.42578125" style="171" customWidth="1"/>
    <col min="10765" max="10765" width="5.5703125" style="171" customWidth="1"/>
    <col min="10766" max="10766" width="6.5703125" style="171" customWidth="1"/>
    <col min="10767" max="10767" width="18.28515625" style="171" customWidth="1"/>
    <col min="10768" max="10776" width="10.7109375" style="171" customWidth="1"/>
    <col min="10777" max="10997" width="14.42578125" style="171" customWidth="1"/>
    <col min="10998" max="10998" width="5.7109375" style="171" customWidth="1"/>
    <col min="10999" max="10999" width="12.7109375" style="171" customWidth="1"/>
    <col min="11000" max="11000" width="0" style="171" hidden="1" customWidth="1"/>
    <col min="11001" max="11001" width="11.42578125" style="171" customWidth="1"/>
    <col min="11002" max="11005" width="14.7109375" style="171" customWidth="1"/>
    <col min="11006" max="11006" width="16.140625" style="171" customWidth="1"/>
    <col min="11007" max="11007" width="5.7109375" style="171"/>
    <col min="11008" max="11008" width="3.7109375" style="171" customWidth="1"/>
    <col min="11009" max="11009" width="12.7109375" style="171" customWidth="1"/>
    <col min="11010" max="11010" width="1.7109375" style="171" customWidth="1"/>
    <col min="11011" max="11011" width="12.28515625" style="171" customWidth="1"/>
    <col min="11012" max="11012" width="14.7109375" style="171" customWidth="1"/>
    <col min="11013" max="11016" width="7.7109375" style="171" customWidth="1"/>
    <col min="11017" max="11017" width="16.5703125" style="171" customWidth="1"/>
    <col min="11018" max="11018" width="14.7109375" style="171" customWidth="1"/>
    <col min="11019" max="11019" width="3.7109375" style="171" customWidth="1"/>
    <col min="11020" max="11020" width="4.42578125" style="171" customWidth="1"/>
    <col min="11021" max="11021" width="5.5703125" style="171" customWidth="1"/>
    <col min="11022" max="11022" width="6.5703125" style="171" customWidth="1"/>
    <col min="11023" max="11023" width="18.28515625" style="171" customWidth="1"/>
    <col min="11024" max="11032" width="10.7109375" style="171" customWidth="1"/>
    <col min="11033" max="11253" width="14.42578125" style="171" customWidth="1"/>
    <col min="11254" max="11254" width="5.7109375" style="171" customWidth="1"/>
    <col min="11255" max="11255" width="12.7109375" style="171" customWidth="1"/>
    <col min="11256" max="11256" width="0" style="171" hidden="1" customWidth="1"/>
    <col min="11257" max="11257" width="11.42578125" style="171" customWidth="1"/>
    <col min="11258" max="11261" width="14.7109375" style="171" customWidth="1"/>
    <col min="11262" max="11262" width="16.140625" style="171" customWidth="1"/>
    <col min="11263" max="11263" width="5.7109375" style="171"/>
    <col min="11264" max="11264" width="3.7109375" style="171" customWidth="1"/>
    <col min="11265" max="11265" width="12.7109375" style="171" customWidth="1"/>
    <col min="11266" max="11266" width="1.7109375" style="171" customWidth="1"/>
    <col min="11267" max="11267" width="12.28515625" style="171" customWidth="1"/>
    <col min="11268" max="11268" width="14.7109375" style="171" customWidth="1"/>
    <col min="11269" max="11272" width="7.7109375" style="171" customWidth="1"/>
    <col min="11273" max="11273" width="16.5703125" style="171" customWidth="1"/>
    <col min="11274" max="11274" width="14.7109375" style="171" customWidth="1"/>
    <col min="11275" max="11275" width="3.7109375" style="171" customWidth="1"/>
    <col min="11276" max="11276" width="4.42578125" style="171" customWidth="1"/>
    <col min="11277" max="11277" width="5.5703125" style="171" customWidth="1"/>
    <col min="11278" max="11278" width="6.5703125" style="171" customWidth="1"/>
    <col min="11279" max="11279" width="18.28515625" style="171" customWidth="1"/>
    <col min="11280" max="11288" width="10.7109375" style="171" customWidth="1"/>
    <col min="11289" max="11509" width="14.42578125" style="171" customWidth="1"/>
    <col min="11510" max="11510" width="5.7109375" style="171" customWidth="1"/>
    <col min="11511" max="11511" width="12.7109375" style="171" customWidth="1"/>
    <col min="11512" max="11512" width="0" style="171" hidden="1" customWidth="1"/>
    <col min="11513" max="11513" width="11.42578125" style="171" customWidth="1"/>
    <col min="11514" max="11517" width="14.7109375" style="171" customWidth="1"/>
    <col min="11518" max="11518" width="16.140625" style="171" customWidth="1"/>
    <col min="11519" max="11519" width="5.7109375" style="171"/>
    <col min="11520" max="11520" width="3.7109375" style="171" customWidth="1"/>
    <col min="11521" max="11521" width="12.7109375" style="171" customWidth="1"/>
    <col min="11522" max="11522" width="1.7109375" style="171" customWidth="1"/>
    <col min="11523" max="11523" width="12.28515625" style="171" customWidth="1"/>
    <col min="11524" max="11524" width="14.7109375" style="171" customWidth="1"/>
    <col min="11525" max="11528" width="7.7109375" style="171" customWidth="1"/>
    <col min="11529" max="11529" width="16.5703125" style="171" customWidth="1"/>
    <col min="11530" max="11530" width="14.7109375" style="171" customWidth="1"/>
    <col min="11531" max="11531" width="3.7109375" style="171" customWidth="1"/>
    <col min="11532" max="11532" width="4.42578125" style="171" customWidth="1"/>
    <col min="11533" max="11533" width="5.5703125" style="171" customWidth="1"/>
    <col min="11534" max="11534" width="6.5703125" style="171" customWidth="1"/>
    <col min="11535" max="11535" width="18.28515625" style="171" customWidth="1"/>
    <col min="11536" max="11544" width="10.7109375" style="171" customWidth="1"/>
    <col min="11545" max="11765" width="14.42578125" style="171" customWidth="1"/>
    <col min="11766" max="11766" width="5.7109375" style="171" customWidth="1"/>
    <col min="11767" max="11767" width="12.7109375" style="171" customWidth="1"/>
    <col min="11768" max="11768" width="0" style="171" hidden="1" customWidth="1"/>
    <col min="11769" max="11769" width="11.42578125" style="171" customWidth="1"/>
    <col min="11770" max="11773" width="14.7109375" style="171" customWidth="1"/>
    <col min="11774" max="11774" width="16.140625" style="171" customWidth="1"/>
    <col min="11775" max="11775" width="5.7109375" style="171"/>
    <col min="11776" max="11776" width="3.7109375" style="171" customWidth="1"/>
    <col min="11777" max="11777" width="12.7109375" style="171" customWidth="1"/>
    <col min="11778" max="11778" width="1.7109375" style="171" customWidth="1"/>
    <col min="11779" max="11779" width="12.28515625" style="171" customWidth="1"/>
    <col min="11780" max="11780" width="14.7109375" style="171" customWidth="1"/>
    <col min="11781" max="11784" width="7.7109375" style="171" customWidth="1"/>
    <col min="11785" max="11785" width="16.5703125" style="171" customWidth="1"/>
    <col min="11786" max="11786" width="14.7109375" style="171" customWidth="1"/>
    <col min="11787" max="11787" width="3.7109375" style="171" customWidth="1"/>
    <col min="11788" max="11788" width="4.42578125" style="171" customWidth="1"/>
    <col min="11789" max="11789" width="5.5703125" style="171" customWidth="1"/>
    <col min="11790" max="11790" width="6.5703125" style="171" customWidth="1"/>
    <col min="11791" max="11791" width="18.28515625" style="171" customWidth="1"/>
    <col min="11792" max="11800" width="10.7109375" style="171" customWidth="1"/>
    <col min="11801" max="12021" width="14.42578125" style="171" customWidth="1"/>
    <col min="12022" max="12022" width="5.7109375" style="171" customWidth="1"/>
    <col min="12023" max="12023" width="12.7109375" style="171" customWidth="1"/>
    <col min="12024" max="12024" width="0" style="171" hidden="1" customWidth="1"/>
    <col min="12025" max="12025" width="11.42578125" style="171" customWidth="1"/>
    <col min="12026" max="12029" width="14.7109375" style="171" customWidth="1"/>
    <col min="12030" max="12030" width="16.140625" style="171" customWidth="1"/>
    <col min="12031" max="12031" width="5.7109375" style="171"/>
    <col min="12032" max="12032" width="3.7109375" style="171" customWidth="1"/>
    <col min="12033" max="12033" width="12.7109375" style="171" customWidth="1"/>
    <col min="12034" max="12034" width="1.7109375" style="171" customWidth="1"/>
    <col min="12035" max="12035" width="12.28515625" style="171" customWidth="1"/>
    <col min="12036" max="12036" width="14.7109375" style="171" customWidth="1"/>
    <col min="12037" max="12040" width="7.7109375" style="171" customWidth="1"/>
    <col min="12041" max="12041" width="16.5703125" style="171" customWidth="1"/>
    <col min="12042" max="12042" width="14.7109375" style="171" customWidth="1"/>
    <col min="12043" max="12043" width="3.7109375" style="171" customWidth="1"/>
    <col min="12044" max="12044" width="4.42578125" style="171" customWidth="1"/>
    <col min="12045" max="12045" width="5.5703125" style="171" customWidth="1"/>
    <col min="12046" max="12046" width="6.5703125" style="171" customWidth="1"/>
    <col min="12047" max="12047" width="18.28515625" style="171" customWidth="1"/>
    <col min="12048" max="12056" width="10.7109375" style="171" customWidth="1"/>
    <col min="12057" max="12277" width="14.42578125" style="171" customWidth="1"/>
    <col min="12278" max="12278" width="5.7109375" style="171" customWidth="1"/>
    <col min="12279" max="12279" width="12.7109375" style="171" customWidth="1"/>
    <col min="12280" max="12280" width="0" style="171" hidden="1" customWidth="1"/>
    <col min="12281" max="12281" width="11.42578125" style="171" customWidth="1"/>
    <col min="12282" max="12285" width="14.7109375" style="171" customWidth="1"/>
    <col min="12286" max="12286" width="16.140625" style="171" customWidth="1"/>
    <col min="12287" max="12287" width="5.7109375" style="171"/>
    <col min="12288" max="12288" width="3.7109375" style="171" customWidth="1"/>
    <col min="12289" max="12289" width="12.7109375" style="171" customWidth="1"/>
    <col min="12290" max="12290" width="1.7109375" style="171" customWidth="1"/>
    <col min="12291" max="12291" width="12.28515625" style="171" customWidth="1"/>
    <col min="12292" max="12292" width="14.7109375" style="171" customWidth="1"/>
    <col min="12293" max="12296" width="7.7109375" style="171" customWidth="1"/>
    <col min="12297" max="12297" width="16.5703125" style="171" customWidth="1"/>
    <col min="12298" max="12298" width="14.7109375" style="171" customWidth="1"/>
    <col min="12299" max="12299" width="3.7109375" style="171" customWidth="1"/>
    <col min="12300" max="12300" width="4.42578125" style="171" customWidth="1"/>
    <col min="12301" max="12301" width="5.5703125" style="171" customWidth="1"/>
    <col min="12302" max="12302" width="6.5703125" style="171" customWidth="1"/>
    <col min="12303" max="12303" width="18.28515625" style="171" customWidth="1"/>
    <col min="12304" max="12312" width="10.7109375" style="171" customWidth="1"/>
    <col min="12313" max="12533" width="14.42578125" style="171" customWidth="1"/>
    <col min="12534" max="12534" width="5.7109375" style="171" customWidth="1"/>
    <col min="12535" max="12535" width="12.7109375" style="171" customWidth="1"/>
    <col min="12536" max="12536" width="0" style="171" hidden="1" customWidth="1"/>
    <col min="12537" max="12537" width="11.42578125" style="171" customWidth="1"/>
    <col min="12538" max="12541" width="14.7109375" style="171" customWidth="1"/>
    <col min="12542" max="12542" width="16.140625" style="171" customWidth="1"/>
    <col min="12543" max="12543" width="5.7109375" style="171"/>
    <col min="12544" max="12544" width="3.7109375" style="171" customWidth="1"/>
    <col min="12545" max="12545" width="12.7109375" style="171" customWidth="1"/>
    <col min="12546" max="12546" width="1.7109375" style="171" customWidth="1"/>
    <col min="12547" max="12547" width="12.28515625" style="171" customWidth="1"/>
    <col min="12548" max="12548" width="14.7109375" style="171" customWidth="1"/>
    <col min="12549" max="12552" width="7.7109375" style="171" customWidth="1"/>
    <col min="12553" max="12553" width="16.5703125" style="171" customWidth="1"/>
    <col min="12554" max="12554" width="14.7109375" style="171" customWidth="1"/>
    <col min="12555" max="12555" width="3.7109375" style="171" customWidth="1"/>
    <col min="12556" max="12556" width="4.42578125" style="171" customWidth="1"/>
    <col min="12557" max="12557" width="5.5703125" style="171" customWidth="1"/>
    <col min="12558" max="12558" width="6.5703125" style="171" customWidth="1"/>
    <col min="12559" max="12559" width="18.28515625" style="171" customWidth="1"/>
    <col min="12560" max="12568" width="10.7109375" style="171" customWidth="1"/>
    <col min="12569" max="12789" width="14.42578125" style="171" customWidth="1"/>
    <col min="12790" max="12790" width="5.7109375" style="171" customWidth="1"/>
    <col min="12791" max="12791" width="12.7109375" style="171" customWidth="1"/>
    <col min="12792" max="12792" width="0" style="171" hidden="1" customWidth="1"/>
    <col min="12793" max="12793" width="11.42578125" style="171" customWidth="1"/>
    <col min="12794" max="12797" width="14.7109375" style="171" customWidth="1"/>
    <col min="12798" max="12798" width="16.140625" style="171" customWidth="1"/>
    <col min="12799" max="12799" width="5.7109375" style="171"/>
    <col min="12800" max="12800" width="3.7109375" style="171" customWidth="1"/>
    <col min="12801" max="12801" width="12.7109375" style="171" customWidth="1"/>
    <col min="12802" max="12802" width="1.7109375" style="171" customWidth="1"/>
    <col min="12803" max="12803" width="12.28515625" style="171" customWidth="1"/>
    <col min="12804" max="12804" width="14.7109375" style="171" customWidth="1"/>
    <col min="12805" max="12808" width="7.7109375" style="171" customWidth="1"/>
    <col min="12809" max="12809" width="16.5703125" style="171" customWidth="1"/>
    <col min="12810" max="12810" width="14.7109375" style="171" customWidth="1"/>
    <col min="12811" max="12811" width="3.7109375" style="171" customWidth="1"/>
    <col min="12812" max="12812" width="4.42578125" style="171" customWidth="1"/>
    <col min="12813" max="12813" width="5.5703125" style="171" customWidth="1"/>
    <col min="12814" max="12814" width="6.5703125" style="171" customWidth="1"/>
    <col min="12815" max="12815" width="18.28515625" style="171" customWidth="1"/>
    <col min="12816" max="12824" width="10.7109375" style="171" customWidth="1"/>
    <col min="12825" max="13045" width="14.42578125" style="171" customWidth="1"/>
    <col min="13046" max="13046" width="5.7109375" style="171" customWidth="1"/>
    <col min="13047" max="13047" width="12.7109375" style="171" customWidth="1"/>
    <col min="13048" max="13048" width="0" style="171" hidden="1" customWidth="1"/>
    <col min="13049" max="13049" width="11.42578125" style="171" customWidth="1"/>
    <col min="13050" max="13053" width="14.7109375" style="171" customWidth="1"/>
    <col min="13054" max="13054" width="16.140625" style="171" customWidth="1"/>
    <col min="13055" max="13055" width="5.7109375" style="171"/>
    <col min="13056" max="13056" width="3.7109375" style="171" customWidth="1"/>
    <col min="13057" max="13057" width="12.7109375" style="171" customWidth="1"/>
    <col min="13058" max="13058" width="1.7109375" style="171" customWidth="1"/>
    <col min="13059" max="13059" width="12.28515625" style="171" customWidth="1"/>
    <col min="13060" max="13060" width="14.7109375" style="171" customWidth="1"/>
    <col min="13061" max="13064" width="7.7109375" style="171" customWidth="1"/>
    <col min="13065" max="13065" width="16.5703125" style="171" customWidth="1"/>
    <col min="13066" max="13066" width="14.7109375" style="171" customWidth="1"/>
    <col min="13067" max="13067" width="3.7109375" style="171" customWidth="1"/>
    <col min="13068" max="13068" width="4.42578125" style="171" customWidth="1"/>
    <col min="13069" max="13069" width="5.5703125" style="171" customWidth="1"/>
    <col min="13070" max="13070" width="6.5703125" style="171" customWidth="1"/>
    <col min="13071" max="13071" width="18.28515625" style="171" customWidth="1"/>
    <col min="13072" max="13080" width="10.7109375" style="171" customWidth="1"/>
    <col min="13081" max="13301" width="14.42578125" style="171" customWidth="1"/>
    <col min="13302" max="13302" width="5.7109375" style="171" customWidth="1"/>
    <col min="13303" max="13303" width="12.7109375" style="171" customWidth="1"/>
    <col min="13304" max="13304" width="0" style="171" hidden="1" customWidth="1"/>
    <col min="13305" max="13305" width="11.42578125" style="171" customWidth="1"/>
    <col min="13306" max="13309" width="14.7109375" style="171" customWidth="1"/>
    <col min="13310" max="13310" width="16.140625" style="171" customWidth="1"/>
    <col min="13311" max="13311" width="5.7109375" style="171"/>
    <col min="13312" max="13312" width="3.7109375" style="171" customWidth="1"/>
    <col min="13313" max="13313" width="12.7109375" style="171" customWidth="1"/>
    <col min="13314" max="13314" width="1.7109375" style="171" customWidth="1"/>
    <col min="13315" max="13315" width="12.28515625" style="171" customWidth="1"/>
    <col min="13316" max="13316" width="14.7109375" style="171" customWidth="1"/>
    <col min="13317" max="13320" width="7.7109375" style="171" customWidth="1"/>
    <col min="13321" max="13321" width="16.5703125" style="171" customWidth="1"/>
    <col min="13322" max="13322" width="14.7109375" style="171" customWidth="1"/>
    <col min="13323" max="13323" width="3.7109375" style="171" customWidth="1"/>
    <col min="13324" max="13324" width="4.42578125" style="171" customWidth="1"/>
    <col min="13325" max="13325" width="5.5703125" style="171" customWidth="1"/>
    <col min="13326" max="13326" width="6.5703125" style="171" customWidth="1"/>
    <col min="13327" max="13327" width="18.28515625" style="171" customWidth="1"/>
    <col min="13328" max="13336" width="10.7109375" style="171" customWidth="1"/>
    <col min="13337" max="13557" width="14.42578125" style="171" customWidth="1"/>
    <col min="13558" max="13558" width="5.7109375" style="171" customWidth="1"/>
    <col min="13559" max="13559" width="12.7109375" style="171" customWidth="1"/>
    <col min="13560" max="13560" width="0" style="171" hidden="1" customWidth="1"/>
    <col min="13561" max="13561" width="11.42578125" style="171" customWidth="1"/>
    <col min="13562" max="13565" width="14.7109375" style="171" customWidth="1"/>
    <col min="13566" max="13566" width="16.140625" style="171" customWidth="1"/>
    <col min="13567" max="13567" width="5.7109375" style="171"/>
    <col min="13568" max="13568" width="3.7109375" style="171" customWidth="1"/>
    <col min="13569" max="13569" width="12.7109375" style="171" customWidth="1"/>
    <col min="13570" max="13570" width="1.7109375" style="171" customWidth="1"/>
    <col min="13571" max="13571" width="12.28515625" style="171" customWidth="1"/>
    <col min="13572" max="13572" width="14.7109375" style="171" customWidth="1"/>
    <col min="13573" max="13576" width="7.7109375" style="171" customWidth="1"/>
    <col min="13577" max="13577" width="16.5703125" style="171" customWidth="1"/>
    <col min="13578" max="13578" width="14.7109375" style="171" customWidth="1"/>
    <col min="13579" max="13579" width="3.7109375" style="171" customWidth="1"/>
    <col min="13580" max="13580" width="4.42578125" style="171" customWidth="1"/>
    <col min="13581" max="13581" width="5.5703125" style="171" customWidth="1"/>
    <col min="13582" max="13582" width="6.5703125" style="171" customWidth="1"/>
    <col min="13583" max="13583" width="18.28515625" style="171" customWidth="1"/>
    <col min="13584" max="13592" width="10.7109375" style="171" customWidth="1"/>
    <col min="13593" max="13813" width="14.42578125" style="171" customWidth="1"/>
    <col min="13814" max="13814" width="5.7109375" style="171" customWidth="1"/>
    <col min="13815" max="13815" width="12.7109375" style="171" customWidth="1"/>
    <col min="13816" max="13816" width="0" style="171" hidden="1" customWidth="1"/>
    <col min="13817" max="13817" width="11.42578125" style="171" customWidth="1"/>
    <col min="13818" max="13821" width="14.7109375" style="171" customWidth="1"/>
    <col min="13822" max="13822" width="16.140625" style="171" customWidth="1"/>
    <col min="13823" max="13823" width="5.7109375" style="171"/>
    <col min="13824" max="13824" width="3.7109375" style="171" customWidth="1"/>
    <col min="13825" max="13825" width="12.7109375" style="171" customWidth="1"/>
    <col min="13826" max="13826" width="1.7109375" style="171" customWidth="1"/>
    <col min="13827" max="13827" width="12.28515625" style="171" customWidth="1"/>
    <col min="13828" max="13828" width="14.7109375" style="171" customWidth="1"/>
    <col min="13829" max="13832" width="7.7109375" style="171" customWidth="1"/>
    <col min="13833" max="13833" width="16.5703125" style="171" customWidth="1"/>
    <col min="13834" max="13834" width="14.7109375" style="171" customWidth="1"/>
    <col min="13835" max="13835" width="3.7109375" style="171" customWidth="1"/>
    <col min="13836" max="13836" width="4.42578125" style="171" customWidth="1"/>
    <col min="13837" max="13837" width="5.5703125" style="171" customWidth="1"/>
    <col min="13838" max="13838" width="6.5703125" style="171" customWidth="1"/>
    <col min="13839" max="13839" width="18.28515625" style="171" customWidth="1"/>
    <col min="13840" max="13848" width="10.7109375" style="171" customWidth="1"/>
    <col min="13849" max="14069" width="14.42578125" style="171" customWidth="1"/>
    <col min="14070" max="14070" width="5.7109375" style="171" customWidth="1"/>
    <col min="14071" max="14071" width="12.7109375" style="171" customWidth="1"/>
    <col min="14072" max="14072" width="0" style="171" hidden="1" customWidth="1"/>
    <col min="14073" max="14073" width="11.42578125" style="171" customWidth="1"/>
    <col min="14074" max="14077" width="14.7109375" style="171" customWidth="1"/>
    <col min="14078" max="14078" width="16.140625" style="171" customWidth="1"/>
    <col min="14079" max="14079" width="5.7109375" style="171"/>
    <col min="14080" max="14080" width="3.7109375" style="171" customWidth="1"/>
    <col min="14081" max="14081" width="12.7109375" style="171" customWidth="1"/>
    <col min="14082" max="14082" width="1.7109375" style="171" customWidth="1"/>
    <col min="14083" max="14083" width="12.28515625" style="171" customWidth="1"/>
    <col min="14084" max="14084" width="14.7109375" style="171" customWidth="1"/>
    <col min="14085" max="14088" width="7.7109375" style="171" customWidth="1"/>
    <col min="14089" max="14089" width="16.5703125" style="171" customWidth="1"/>
    <col min="14090" max="14090" width="14.7109375" style="171" customWidth="1"/>
    <col min="14091" max="14091" width="3.7109375" style="171" customWidth="1"/>
    <col min="14092" max="14092" width="4.42578125" style="171" customWidth="1"/>
    <col min="14093" max="14093" width="5.5703125" style="171" customWidth="1"/>
    <col min="14094" max="14094" width="6.5703125" style="171" customWidth="1"/>
    <col min="14095" max="14095" width="18.28515625" style="171" customWidth="1"/>
    <col min="14096" max="14104" width="10.7109375" style="171" customWidth="1"/>
    <col min="14105" max="14325" width="14.42578125" style="171" customWidth="1"/>
    <col min="14326" max="14326" width="5.7109375" style="171" customWidth="1"/>
    <col min="14327" max="14327" width="12.7109375" style="171" customWidth="1"/>
    <col min="14328" max="14328" width="0" style="171" hidden="1" customWidth="1"/>
    <col min="14329" max="14329" width="11.42578125" style="171" customWidth="1"/>
    <col min="14330" max="14333" width="14.7109375" style="171" customWidth="1"/>
    <col min="14334" max="14334" width="16.140625" style="171" customWidth="1"/>
    <col min="14335" max="14335" width="5.7109375" style="171"/>
    <col min="14336" max="14336" width="3.7109375" style="171" customWidth="1"/>
    <col min="14337" max="14337" width="12.7109375" style="171" customWidth="1"/>
    <col min="14338" max="14338" width="1.7109375" style="171" customWidth="1"/>
    <col min="14339" max="14339" width="12.28515625" style="171" customWidth="1"/>
    <col min="14340" max="14340" width="14.7109375" style="171" customWidth="1"/>
    <col min="14341" max="14344" width="7.7109375" style="171" customWidth="1"/>
    <col min="14345" max="14345" width="16.5703125" style="171" customWidth="1"/>
    <col min="14346" max="14346" width="14.7109375" style="171" customWidth="1"/>
    <col min="14347" max="14347" width="3.7109375" style="171" customWidth="1"/>
    <col min="14348" max="14348" width="4.42578125" style="171" customWidth="1"/>
    <col min="14349" max="14349" width="5.5703125" style="171" customWidth="1"/>
    <col min="14350" max="14350" width="6.5703125" style="171" customWidth="1"/>
    <col min="14351" max="14351" width="18.28515625" style="171" customWidth="1"/>
    <col min="14352" max="14360" width="10.7109375" style="171" customWidth="1"/>
    <col min="14361" max="14581" width="14.42578125" style="171" customWidth="1"/>
    <col min="14582" max="14582" width="5.7109375" style="171" customWidth="1"/>
    <col min="14583" max="14583" width="12.7109375" style="171" customWidth="1"/>
    <col min="14584" max="14584" width="0" style="171" hidden="1" customWidth="1"/>
    <col min="14585" max="14585" width="11.42578125" style="171" customWidth="1"/>
    <col min="14586" max="14589" width="14.7109375" style="171" customWidth="1"/>
    <col min="14590" max="14590" width="16.140625" style="171" customWidth="1"/>
    <col min="14591" max="14591" width="5.7109375" style="171"/>
    <col min="14592" max="14592" width="3.7109375" style="171" customWidth="1"/>
    <col min="14593" max="14593" width="12.7109375" style="171" customWidth="1"/>
    <col min="14594" max="14594" width="1.7109375" style="171" customWidth="1"/>
    <col min="14595" max="14595" width="12.28515625" style="171" customWidth="1"/>
    <col min="14596" max="14596" width="14.7109375" style="171" customWidth="1"/>
    <col min="14597" max="14600" width="7.7109375" style="171" customWidth="1"/>
    <col min="14601" max="14601" width="16.5703125" style="171" customWidth="1"/>
    <col min="14602" max="14602" width="14.7109375" style="171" customWidth="1"/>
    <col min="14603" max="14603" width="3.7109375" style="171" customWidth="1"/>
    <col min="14604" max="14604" width="4.42578125" style="171" customWidth="1"/>
    <col min="14605" max="14605" width="5.5703125" style="171" customWidth="1"/>
    <col min="14606" max="14606" width="6.5703125" style="171" customWidth="1"/>
    <col min="14607" max="14607" width="18.28515625" style="171" customWidth="1"/>
    <col min="14608" max="14616" width="10.7109375" style="171" customWidth="1"/>
    <col min="14617" max="14837" width="14.42578125" style="171" customWidth="1"/>
    <col min="14838" max="14838" width="5.7109375" style="171" customWidth="1"/>
    <col min="14839" max="14839" width="12.7109375" style="171" customWidth="1"/>
    <col min="14840" max="14840" width="0" style="171" hidden="1" customWidth="1"/>
    <col min="14841" max="14841" width="11.42578125" style="171" customWidth="1"/>
    <col min="14842" max="14845" width="14.7109375" style="171" customWidth="1"/>
    <col min="14846" max="14846" width="16.140625" style="171" customWidth="1"/>
    <col min="14847" max="14847" width="5.7109375" style="171"/>
    <col min="14848" max="14848" width="3.7109375" style="171" customWidth="1"/>
    <col min="14849" max="14849" width="12.7109375" style="171" customWidth="1"/>
    <col min="14850" max="14850" width="1.7109375" style="171" customWidth="1"/>
    <col min="14851" max="14851" width="12.28515625" style="171" customWidth="1"/>
    <col min="14852" max="14852" width="14.7109375" style="171" customWidth="1"/>
    <col min="14853" max="14856" width="7.7109375" style="171" customWidth="1"/>
    <col min="14857" max="14857" width="16.5703125" style="171" customWidth="1"/>
    <col min="14858" max="14858" width="14.7109375" style="171" customWidth="1"/>
    <col min="14859" max="14859" width="3.7109375" style="171" customWidth="1"/>
    <col min="14860" max="14860" width="4.42578125" style="171" customWidth="1"/>
    <col min="14861" max="14861" width="5.5703125" style="171" customWidth="1"/>
    <col min="14862" max="14862" width="6.5703125" style="171" customWidth="1"/>
    <col min="14863" max="14863" width="18.28515625" style="171" customWidth="1"/>
    <col min="14864" max="14872" width="10.7109375" style="171" customWidth="1"/>
    <col min="14873" max="15093" width="14.42578125" style="171" customWidth="1"/>
    <col min="15094" max="15094" width="5.7109375" style="171" customWidth="1"/>
    <col min="15095" max="15095" width="12.7109375" style="171" customWidth="1"/>
    <col min="15096" max="15096" width="0" style="171" hidden="1" customWidth="1"/>
    <col min="15097" max="15097" width="11.42578125" style="171" customWidth="1"/>
    <col min="15098" max="15101" width="14.7109375" style="171" customWidth="1"/>
    <col min="15102" max="15102" width="16.140625" style="171" customWidth="1"/>
    <col min="15103" max="15103" width="5.7109375" style="171"/>
    <col min="15104" max="15104" width="3.7109375" style="171" customWidth="1"/>
    <col min="15105" max="15105" width="12.7109375" style="171" customWidth="1"/>
    <col min="15106" max="15106" width="1.7109375" style="171" customWidth="1"/>
    <col min="15107" max="15107" width="12.28515625" style="171" customWidth="1"/>
    <col min="15108" max="15108" width="14.7109375" style="171" customWidth="1"/>
    <col min="15109" max="15112" width="7.7109375" style="171" customWidth="1"/>
    <col min="15113" max="15113" width="16.5703125" style="171" customWidth="1"/>
    <col min="15114" max="15114" width="14.7109375" style="171" customWidth="1"/>
    <col min="15115" max="15115" width="3.7109375" style="171" customWidth="1"/>
    <col min="15116" max="15116" width="4.42578125" style="171" customWidth="1"/>
    <col min="15117" max="15117" width="5.5703125" style="171" customWidth="1"/>
    <col min="15118" max="15118" width="6.5703125" style="171" customWidth="1"/>
    <col min="15119" max="15119" width="18.28515625" style="171" customWidth="1"/>
    <col min="15120" max="15128" width="10.7109375" style="171" customWidth="1"/>
    <col min="15129" max="15349" width="14.42578125" style="171" customWidth="1"/>
    <col min="15350" max="15350" width="5.7109375" style="171" customWidth="1"/>
    <col min="15351" max="15351" width="12.7109375" style="171" customWidth="1"/>
    <col min="15352" max="15352" width="0" style="171" hidden="1" customWidth="1"/>
    <col min="15353" max="15353" width="11.42578125" style="171" customWidth="1"/>
    <col min="15354" max="15357" width="14.7109375" style="171" customWidth="1"/>
    <col min="15358" max="15358" width="16.140625" style="171" customWidth="1"/>
    <col min="15359" max="15359" width="5.7109375" style="171"/>
    <col min="15360" max="15360" width="3.7109375" style="171" customWidth="1"/>
    <col min="15361" max="15361" width="12.7109375" style="171" customWidth="1"/>
    <col min="15362" max="15362" width="1.7109375" style="171" customWidth="1"/>
    <col min="15363" max="15363" width="12.28515625" style="171" customWidth="1"/>
    <col min="15364" max="15364" width="14.7109375" style="171" customWidth="1"/>
    <col min="15365" max="15368" width="7.7109375" style="171" customWidth="1"/>
    <col min="15369" max="15369" width="16.5703125" style="171" customWidth="1"/>
    <col min="15370" max="15370" width="14.7109375" style="171" customWidth="1"/>
    <col min="15371" max="15371" width="3.7109375" style="171" customWidth="1"/>
    <col min="15372" max="15372" width="4.42578125" style="171" customWidth="1"/>
    <col min="15373" max="15373" width="5.5703125" style="171" customWidth="1"/>
    <col min="15374" max="15374" width="6.5703125" style="171" customWidth="1"/>
    <col min="15375" max="15375" width="18.28515625" style="171" customWidth="1"/>
    <col min="15376" max="15384" width="10.7109375" style="171" customWidth="1"/>
    <col min="15385" max="15605" width="14.42578125" style="171" customWidth="1"/>
    <col min="15606" max="15606" width="5.7109375" style="171" customWidth="1"/>
    <col min="15607" max="15607" width="12.7109375" style="171" customWidth="1"/>
    <col min="15608" max="15608" width="0" style="171" hidden="1" customWidth="1"/>
    <col min="15609" max="15609" width="11.42578125" style="171" customWidth="1"/>
    <col min="15610" max="15613" width="14.7109375" style="171" customWidth="1"/>
    <col min="15614" max="15614" width="16.140625" style="171" customWidth="1"/>
    <col min="15615" max="15615" width="5.7109375" style="171"/>
    <col min="15616" max="15616" width="3.7109375" style="171" customWidth="1"/>
    <col min="15617" max="15617" width="12.7109375" style="171" customWidth="1"/>
    <col min="15618" max="15618" width="1.7109375" style="171" customWidth="1"/>
    <col min="15619" max="15619" width="12.28515625" style="171" customWidth="1"/>
    <col min="15620" max="15620" width="14.7109375" style="171" customWidth="1"/>
    <col min="15621" max="15624" width="7.7109375" style="171" customWidth="1"/>
    <col min="15625" max="15625" width="16.5703125" style="171" customWidth="1"/>
    <col min="15626" max="15626" width="14.7109375" style="171" customWidth="1"/>
    <col min="15627" max="15627" width="3.7109375" style="171" customWidth="1"/>
    <col min="15628" max="15628" width="4.42578125" style="171" customWidth="1"/>
    <col min="15629" max="15629" width="5.5703125" style="171" customWidth="1"/>
    <col min="15630" max="15630" width="6.5703125" style="171" customWidth="1"/>
    <col min="15631" max="15631" width="18.28515625" style="171" customWidth="1"/>
    <col min="15632" max="15640" width="10.7109375" style="171" customWidth="1"/>
    <col min="15641" max="15861" width="14.42578125" style="171" customWidth="1"/>
    <col min="15862" max="15862" width="5.7109375" style="171" customWidth="1"/>
    <col min="15863" max="15863" width="12.7109375" style="171" customWidth="1"/>
    <col min="15864" max="15864" width="0" style="171" hidden="1" customWidth="1"/>
    <col min="15865" max="15865" width="11.42578125" style="171" customWidth="1"/>
    <col min="15866" max="15869" width="14.7109375" style="171" customWidth="1"/>
    <col min="15870" max="15870" width="16.140625" style="171" customWidth="1"/>
    <col min="15871" max="15871" width="5.7109375" style="171"/>
    <col min="15872" max="15872" width="3.7109375" style="171" customWidth="1"/>
    <col min="15873" max="15873" width="12.7109375" style="171" customWidth="1"/>
    <col min="15874" max="15874" width="1.7109375" style="171" customWidth="1"/>
    <col min="15875" max="15875" width="12.28515625" style="171" customWidth="1"/>
    <col min="15876" max="15876" width="14.7109375" style="171" customWidth="1"/>
    <col min="15877" max="15880" width="7.7109375" style="171" customWidth="1"/>
    <col min="15881" max="15881" width="16.5703125" style="171" customWidth="1"/>
    <col min="15882" max="15882" width="14.7109375" style="171" customWidth="1"/>
    <col min="15883" max="15883" width="3.7109375" style="171" customWidth="1"/>
    <col min="15884" max="15884" width="4.42578125" style="171" customWidth="1"/>
    <col min="15885" max="15885" width="5.5703125" style="171" customWidth="1"/>
    <col min="15886" max="15886" width="6.5703125" style="171" customWidth="1"/>
    <col min="15887" max="15887" width="18.28515625" style="171" customWidth="1"/>
    <col min="15888" max="15896" width="10.7109375" style="171" customWidth="1"/>
    <col min="15897" max="16117" width="14.42578125" style="171" customWidth="1"/>
    <col min="16118" max="16118" width="5.7109375" style="171" customWidth="1"/>
    <col min="16119" max="16119" width="12.7109375" style="171" customWidth="1"/>
    <col min="16120" max="16120" width="0" style="171" hidden="1" customWidth="1"/>
    <col min="16121" max="16121" width="11.42578125" style="171" customWidth="1"/>
    <col min="16122" max="16125" width="14.7109375" style="171" customWidth="1"/>
    <col min="16126" max="16126" width="16.140625" style="171" customWidth="1"/>
    <col min="16127" max="16127" width="5.7109375" style="171"/>
    <col min="16128" max="16128" width="3.7109375" style="171" customWidth="1"/>
    <col min="16129" max="16129" width="12.7109375" style="171" customWidth="1"/>
    <col min="16130" max="16130" width="1.7109375" style="171" customWidth="1"/>
    <col min="16131" max="16131" width="12.28515625" style="171" customWidth="1"/>
    <col min="16132" max="16132" width="14.7109375" style="171" customWidth="1"/>
    <col min="16133" max="16136" width="7.7109375" style="171" customWidth="1"/>
    <col min="16137" max="16137" width="16.5703125" style="171" customWidth="1"/>
    <col min="16138" max="16138" width="14.7109375" style="171" customWidth="1"/>
    <col min="16139" max="16139" width="3.7109375" style="171" customWidth="1"/>
    <col min="16140" max="16140" width="4.42578125" style="171" customWidth="1"/>
    <col min="16141" max="16141" width="5.5703125" style="171" customWidth="1"/>
    <col min="16142" max="16142" width="6.5703125" style="171" customWidth="1"/>
    <col min="16143" max="16143" width="18.28515625" style="171" customWidth="1"/>
    <col min="16144" max="16152" width="10.7109375" style="171" customWidth="1"/>
    <col min="16153" max="16373" width="14.42578125" style="171" customWidth="1"/>
    <col min="16374" max="16374" width="5.7109375" style="171" customWidth="1"/>
    <col min="16375" max="16375" width="12.7109375" style="171" customWidth="1"/>
    <col min="16376" max="16376" width="0" style="171" hidden="1" customWidth="1"/>
    <col min="16377" max="16377" width="11.42578125" style="171" customWidth="1"/>
    <col min="16378" max="16381" width="14.7109375" style="171" customWidth="1"/>
    <col min="16382" max="16382" width="16.140625" style="171" customWidth="1"/>
    <col min="16383" max="16384" width="5.7109375" style="171"/>
  </cols>
  <sheetData>
    <row r="1" spans="1:22" s="167" customFormat="1" ht="15" customHeight="1">
      <c r="A1" s="1875"/>
      <c r="B1" s="1876"/>
      <c r="C1" s="1253" t="s">
        <v>94</v>
      </c>
      <c r="D1" s="1254"/>
      <c r="E1" s="1254"/>
      <c r="F1" s="1254"/>
      <c r="G1" s="1254"/>
      <c r="H1" s="1254"/>
      <c r="I1" s="1254"/>
      <c r="J1" s="1254"/>
      <c r="K1" s="1255"/>
      <c r="L1" s="416"/>
      <c r="M1" s="417"/>
      <c r="N1" s="417"/>
      <c r="O1" s="417"/>
      <c r="P1" s="417"/>
      <c r="Q1" s="417"/>
      <c r="R1" s="417"/>
      <c r="S1" s="417"/>
      <c r="T1" s="417"/>
      <c r="U1" s="416"/>
      <c r="V1" s="419"/>
    </row>
    <row r="2" spans="1:22" s="167" customFormat="1" ht="15" customHeight="1">
      <c r="A2" s="1877"/>
      <c r="B2" s="1878"/>
      <c r="C2" s="1256" t="s">
        <v>221</v>
      </c>
      <c r="D2" s="1257"/>
      <c r="E2" s="1257"/>
      <c r="F2" s="1257"/>
      <c r="G2" s="1257"/>
      <c r="H2" s="1257"/>
      <c r="I2" s="1257"/>
      <c r="J2" s="1257"/>
      <c r="K2" s="1258"/>
      <c r="L2" s="416"/>
      <c r="M2" s="417"/>
      <c r="N2" s="417"/>
      <c r="O2" s="417"/>
      <c r="P2" s="417"/>
      <c r="Q2" s="417"/>
      <c r="R2" s="417"/>
      <c r="S2" s="417"/>
      <c r="T2" s="417"/>
      <c r="U2" s="416"/>
      <c r="V2" s="419"/>
    </row>
    <row r="3" spans="1:22" s="168" customFormat="1" ht="15" customHeight="1">
      <c r="A3" s="1877"/>
      <c r="B3" s="1878"/>
      <c r="C3" s="1256" t="s">
        <v>222</v>
      </c>
      <c r="D3" s="1257"/>
      <c r="E3" s="1257"/>
      <c r="F3" s="1257"/>
      <c r="G3" s="1257"/>
      <c r="H3" s="1257"/>
      <c r="I3" s="1257"/>
      <c r="J3" s="1257"/>
      <c r="K3" s="1258"/>
      <c r="L3" s="416"/>
      <c r="M3" s="417"/>
      <c r="N3" s="417"/>
      <c r="O3" s="418" t="s">
        <v>199</v>
      </c>
      <c r="P3" s="418"/>
      <c r="Q3" s="417"/>
      <c r="R3" s="1960" t="s">
        <v>233</v>
      </c>
      <c r="S3" s="1960"/>
      <c r="T3" s="1960"/>
      <c r="U3" s="1954" t="s">
        <v>92</v>
      </c>
      <c r="V3" s="420"/>
    </row>
    <row r="4" spans="1:22" s="165" customFormat="1" ht="12.95" customHeight="1">
      <c r="A4" s="1877"/>
      <c r="B4" s="1878"/>
      <c r="C4" s="1262" t="s">
        <v>223</v>
      </c>
      <c r="D4" s="1263"/>
      <c r="E4" s="1263"/>
      <c r="F4" s="1263"/>
      <c r="G4" s="1264"/>
      <c r="H4" s="1262" t="s">
        <v>426</v>
      </c>
      <c r="I4" s="1263"/>
      <c r="J4" s="1263"/>
      <c r="K4" s="1264"/>
      <c r="L4" s="416"/>
      <c r="M4" s="417"/>
      <c r="N4" s="417"/>
      <c r="O4" s="417"/>
      <c r="P4" s="417"/>
      <c r="Q4" s="417"/>
      <c r="R4" s="1961"/>
      <c r="S4" s="1961"/>
      <c r="T4" s="1961"/>
      <c r="U4" s="1955"/>
      <c r="V4" s="416"/>
    </row>
    <row r="5" spans="1:22" s="165" customFormat="1" ht="12.95" customHeight="1">
      <c r="A5" s="1879"/>
      <c r="B5" s="1880"/>
      <c r="C5" s="1882" t="s">
        <v>466</v>
      </c>
      <c r="D5" s="1883"/>
      <c r="E5" s="1883"/>
      <c r="F5" s="1883"/>
      <c r="G5" s="1883"/>
      <c r="H5" s="1883"/>
      <c r="I5" s="1883"/>
      <c r="J5" s="1883"/>
      <c r="K5" s="1884"/>
      <c r="L5" s="416"/>
      <c r="M5" s="1957" t="s">
        <v>200</v>
      </c>
      <c r="N5" s="1957"/>
      <c r="O5" s="1957"/>
      <c r="P5" s="169" t="s">
        <v>201</v>
      </c>
      <c r="Q5" s="1958" t="s">
        <v>202</v>
      </c>
      <c r="R5" s="1959"/>
      <c r="S5" s="169" t="s">
        <v>201</v>
      </c>
      <c r="T5" s="170"/>
    </row>
    <row r="6" spans="1:22" s="165" customFormat="1" ht="14.1" customHeight="1">
      <c r="A6" s="649" t="s">
        <v>5</v>
      </c>
      <c r="B6" s="1881" t="e">
        <f>IF(#REF!="","",+#REF!)</f>
        <v>#REF!</v>
      </c>
      <c r="C6" s="1881"/>
      <c r="D6" s="1881"/>
      <c r="E6" s="1881"/>
      <c r="F6" s="1881"/>
      <c r="G6" s="1881"/>
      <c r="H6" s="1590" t="s">
        <v>229</v>
      </c>
      <c r="I6" s="1590"/>
      <c r="J6" s="1586"/>
      <c r="K6" s="1887"/>
      <c r="L6" s="416"/>
      <c r="M6" s="1928" t="s">
        <v>355</v>
      </c>
      <c r="N6" s="1928"/>
      <c r="O6" s="1928"/>
      <c r="P6" s="332"/>
      <c r="Q6" s="1951" t="s">
        <v>203</v>
      </c>
      <c r="R6" s="1952"/>
      <c r="S6" s="57"/>
      <c r="T6" s="1956"/>
    </row>
    <row r="7" spans="1:22" ht="14.1" customHeight="1">
      <c r="A7" s="647" t="s">
        <v>30</v>
      </c>
      <c r="B7" s="1272" t="e">
        <f>IF(#REF!="","",+#REF!)</f>
        <v>#REF!</v>
      </c>
      <c r="C7" s="1272"/>
      <c r="D7" s="1272"/>
      <c r="E7" s="1885" t="s">
        <v>17</v>
      </c>
      <c r="F7" s="1885"/>
      <c r="G7" s="640" t="e">
        <f>IF(#REF!="","",#REF!)</f>
        <v>#REF!</v>
      </c>
      <c r="H7" s="641" t="s">
        <v>31</v>
      </c>
      <c r="I7" s="641"/>
      <c r="J7" s="1889" t="e">
        <f>IF(#REF!="","",+#REF!)</f>
        <v>#REF!</v>
      </c>
      <c r="K7" s="1890"/>
      <c r="L7" s="416"/>
      <c r="M7" s="1928" t="s">
        <v>356</v>
      </c>
      <c r="N7" s="1928"/>
      <c r="O7" s="1928"/>
      <c r="P7" s="331" t="str">
        <f>+IF(P6="","",P6*70%)</f>
        <v/>
      </c>
      <c r="Q7" s="1951" t="s">
        <v>204</v>
      </c>
      <c r="R7" s="1952"/>
      <c r="S7" s="57"/>
      <c r="T7" s="1956"/>
      <c r="U7" s="165"/>
    </row>
    <row r="8" spans="1:22" ht="14.1" customHeight="1">
      <c r="A8" s="647" t="s">
        <v>323</v>
      </c>
      <c r="B8" s="1272" t="e">
        <f>IF(#REF!="","",+#REF!)</f>
        <v>#REF!</v>
      </c>
      <c r="C8" s="1272"/>
      <c r="D8" s="1272"/>
      <c r="E8" s="1891" t="s">
        <v>18</v>
      </c>
      <c r="F8" s="1891"/>
      <c r="G8" s="640" t="e">
        <f>IF(#REF!="","",#REF!)</f>
        <v>#REF!</v>
      </c>
      <c r="H8" s="1888" t="s">
        <v>266</v>
      </c>
      <c r="I8" s="1888"/>
      <c r="J8" s="1916" t="e">
        <f>IF(#REF!="","",+#REF!)</f>
        <v>#REF!</v>
      </c>
      <c r="K8" s="1917"/>
      <c r="L8" s="416"/>
      <c r="M8" s="1928" t="s">
        <v>357</v>
      </c>
      <c r="N8" s="1928"/>
      <c r="O8" s="1928"/>
      <c r="P8" s="331" t="str">
        <f>+IF(P6="","",P6-P7)</f>
        <v/>
      </c>
      <c r="Q8" s="1949"/>
      <c r="R8" s="1950"/>
      <c r="S8" s="172"/>
      <c r="T8" s="173"/>
      <c r="U8" s="165"/>
    </row>
    <row r="9" spans="1:22" ht="14.1" customHeight="1">
      <c r="A9" s="648" t="s">
        <v>6</v>
      </c>
      <c r="B9" s="1886" t="e">
        <f>IF(#REF!="","",+#REF!)</f>
        <v>#REF!</v>
      </c>
      <c r="C9" s="1886"/>
      <c r="D9" s="1886"/>
      <c r="E9" s="1886"/>
      <c r="F9" s="1886"/>
      <c r="G9" s="1886"/>
      <c r="H9" s="651" t="s">
        <v>462</v>
      </c>
      <c r="I9" s="652"/>
      <c r="J9" s="1889" t="e">
        <f>IF(#REF!="","",+#REF!)</f>
        <v>#REF!</v>
      </c>
      <c r="K9" s="1890"/>
      <c r="L9" s="416"/>
      <c r="M9" s="1928" t="s">
        <v>358</v>
      </c>
      <c r="N9" s="1928"/>
      <c r="O9" s="1928"/>
      <c r="P9" s="331" t="str">
        <f>+IF(P7="","",P7/(1+(P12/100)))</f>
        <v/>
      </c>
      <c r="Q9" s="421"/>
      <c r="R9" s="421"/>
      <c r="S9" s="174"/>
      <c r="T9" s="174"/>
      <c r="U9" s="165"/>
    </row>
    <row r="10" spans="1:22" ht="15" customHeight="1">
      <c r="A10" s="612"/>
      <c r="B10" s="613"/>
      <c r="C10" s="614"/>
      <c r="D10" s="615"/>
      <c r="E10" s="615"/>
      <c r="F10" s="615"/>
      <c r="G10" s="615"/>
      <c r="H10" s="616"/>
      <c r="I10" s="616"/>
      <c r="J10" s="616"/>
      <c r="K10" s="388"/>
      <c r="L10" s="416"/>
      <c r="M10" s="259"/>
      <c r="N10" s="259"/>
      <c r="O10" s="259"/>
      <c r="P10" s="259"/>
      <c r="Q10" s="259"/>
      <c r="R10" s="259"/>
      <c r="S10" s="175"/>
      <c r="T10" s="175"/>
      <c r="U10" s="165"/>
    </row>
    <row r="11" spans="1:22" ht="15" customHeight="1">
      <c r="A11" s="617"/>
      <c r="B11" s="1923"/>
      <c r="C11" s="1923"/>
      <c r="D11" s="1923"/>
      <c r="E11" s="1923"/>
      <c r="F11" s="1923"/>
      <c r="G11" s="1923"/>
      <c r="H11" s="618"/>
      <c r="I11" s="1924"/>
      <c r="J11" s="1924"/>
      <c r="K11" s="390"/>
      <c r="L11" s="416"/>
      <c r="M11" s="1920" t="s">
        <v>205</v>
      </c>
      <c r="N11" s="1921"/>
      <c r="O11" s="1922"/>
      <c r="P11" s="257" t="str">
        <f>+IF(P6="","",((P6-P8)/P8)*100)</f>
        <v/>
      </c>
      <c r="Q11" s="258"/>
      <c r="R11" s="259"/>
      <c r="S11" s="260"/>
      <c r="T11" s="259"/>
      <c r="U11" s="165"/>
    </row>
    <row r="12" spans="1:22" ht="15" customHeight="1">
      <c r="A12" s="617"/>
      <c r="B12" s="619"/>
      <c r="C12" s="619"/>
      <c r="D12" s="619"/>
      <c r="E12" s="619"/>
      <c r="F12" s="619"/>
      <c r="G12" s="619"/>
      <c r="H12" s="619"/>
      <c r="I12" s="620"/>
      <c r="J12" s="620"/>
      <c r="K12" s="390"/>
      <c r="L12" s="416"/>
      <c r="M12" s="1920" t="s">
        <v>206</v>
      </c>
      <c r="N12" s="1921"/>
      <c r="O12" s="1922"/>
      <c r="P12" s="257" t="str">
        <f>+IF(S6="","",((S6-S7)/S7)*100)</f>
        <v/>
      </c>
      <c r="Q12" s="259"/>
      <c r="R12" s="259"/>
      <c r="S12" s="259"/>
      <c r="T12" s="259"/>
      <c r="U12" s="165"/>
    </row>
    <row r="13" spans="1:22" ht="15" customHeight="1">
      <c r="A13" s="617"/>
      <c r="B13" s="621"/>
      <c r="C13" s="621"/>
      <c r="D13" s="621"/>
      <c r="E13" s="621"/>
      <c r="F13" s="621"/>
      <c r="G13" s="621"/>
      <c r="H13" s="621"/>
      <c r="I13" s="621"/>
      <c r="J13" s="621"/>
      <c r="K13" s="391"/>
      <c r="L13" s="416"/>
      <c r="M13" s="1920" t="s">
        <v>359</v>
      </c>
      <c r="N13" s="1921"/>
      <c r="O13" s="1922"/>
      <c r="P13" s="336" t="str">
        <f>IF(P24="","",P24*9.8066)</f>
        <v/>
      </c>
      <c r="Q13" s="336" t="str">
        <f>IF(Q24="","",Q24*9.8066)</f>
        <v/>
      </c>
      <c r="R13" s="336" t="str">
        <f>IF(R24="","",R24*9.8066)</f>
        <v/>
      </c>
      <c r="S13" s="336" t="str">
        <f>IF(S24="","",S24*9.8066)</f>
        <v/>
      </c>
      <c r="T13" s="336" t="str">
        <f>IF(T24="","",T24*9.8066)</f>
        <v/>
      </c>
      <c r="U13" s="165"/>
    </row>
    <row r="14" spans="1:22" ht="15" customHeight="1">
      <c r="A14" s="617"/>
      <c r="B14" s="621"/>
      <c r="C14" s="621"/>
      <c r="D14" s="621"/>
      <c r="E14" s="621"/>
      <c r="F14" s="621"/>
      <c r="G14" s="621"/>
      <c r="H14" s="621"/>
      <c r="I14" s="621"/>
      <c r="J14" s="621"/>
      <c r="K14" s="391"/>
      <c r="L14" s="416"/>
      <c r="M14" s="1953" t="s">
        <v>207</v>
      </c>
      <c r="N14" s="1953"/>
      <c r="O14" s="1953"/>
      <c r="P14" s="270">
        <v>1</v>
      </c>
      <c r="Q14" s="270">
        <v>2</v>
      </c>
      <c r="R14" s="270">
        <v>3</v>
      </c>
      <c r="S14" s="270">
        <v>4</v>
      </c>
      <c r="T14" s="270">
        <v>5</v>
      </c>
      <c r="U14" s="165"/>
    </row>
    <row r="15" spans="1:22" ht="15" customHeight="1">
      <c r="A15" s="622"/>
      <c r="F15" s="623"/>
      <c r="G15" s="623"/>
      <c r="H15" s="623"/>
      <c r="I15" s="623"/>
      <c r="J15" s="623"/>
      <c r="K15" s="393"/>
      <c r="L15" s="416"/>
      <c r="M15" s="1928" t="s">
        <v>360</v>
      </c>
      <c r="N15" s="1928"/>
      <c r="O15" s="1928"/>
      <c r="P15" s="335"/>
      <c r="Q15" s="335"/>
      <c r="R15" s="335"/>
      <c r="S15" s="335"/>
      <c r="T15" s="335"/>
      <c r="U15" s="165"/>
    </row>
    <row r="16" spans="1:22" ht="15" customHeight="1">
      <c r="A16" s="617"/>
      <c r="F16" s="621"/>
      <c r="G16" s="621"/>
      <c r="H16" s="621"/>
      <c r="I16" s="621"/>
      <c r="J16" s="621"/>
      <c r="K16" s="391"/>
      <c r="L16" s="416"/>
      <c r="M16" s="371" t="s">
        <v>361</v>
      </c>
      <c r="N16" s="371"/>
      <c r="O16" s="371"/>
      <c r="P16" s="335"/>
      <c r="Q16" s="334" t="str">
        <f>+IF(P16="","",P16)</f>
        <v/>
      </c>
      <c r="R16" s="334" t="str">
        <f>+IF(P16="","",P16)</f>
        <v/>
      </c>
      <c r="S16" s="334" t="str">
        <f>+IF(P16="","",P16)</f>
        <v/>
      </c>
      <c r="T16" s="334" t="str">
        <f>+IF(P16="","",P16)</f>
        <v/>
      </c>
      <c r="U16" s="165"/>
    </row>
    <row r="17" spans="1:24" ht="15" customHeight="1">
      <c r="A17" s="622"/>
      <c r="F17" s="623"/>
      <c r="G17" s="623"/>
      <c r="H17" s="623"/>
      <c r="I17" s="623"/>
      <c r="J17" s="623"/>
      <c r="K17" s="393"/>
      <c r="L17" s="416"/>
      <c r="M17" s="1928" t="s">
        <v>362</v>
      </c>
      <c r="N17" s="1928"/>
      <c r="O17" s="1928"/>
      <c r="P17" s="335"/>
      <c r="Q17" s="334" t="str">
        <f>+IF(P17="","",P17)</f>
        <v/>
      </c>
      <c r="R17" s="334" t="str">
        <f>+IF(P17="","",P17)</f>
        <v/>
      </c>
      <c r="S17" s="334" t="str">
        <f>+IF(P17="","",P17)</f>
        <v/>
      </c>
      <c r="T17" s="334" t="str">
        <f>+IF(P17="","",P17)</f>
        <v/>
      </c>
      <c r="U17" s="165"/>
    </row>
    <row r="18" spans="1:24" ht="15" customHeight="1">
      <c r="A18" s="617"/>
      <c r="F18" s="621"/>
      <c r="G18" s="621"/>
      <c r="H18" s="621"/>
      <c r="I18" s="621"/>
      <c r="J18" s="621"/>
      <c r="K18" s="391"/>
      <c r="L18" s="416"/>
      <c r="M18" s="1929" t="s">
        <v>208</v>
      </c>
      <c r="N18" s="1930"/>
      <c r="O18" s="1931"/>
      <c r="P18" s="335"/>
      <c r="Q18" s="335"/>
      <c r="R18" s="335"/>
      <c r="S18" s="335"/>
      <c r="T18" s="335"/>
      <c r="U18" s="165"/>
    </row>
    <row r="19" spans="1:24" ht="15" customHeight="1">
      <c r="A19" s="622"/>
      <c r="F19" s="623"/>
      <c r="G19" s="623"/>
      <c r="H19" s="623"/>
      <c r="I19" s="623"/>
      <c r="J19" s="623"/>
      <c r="K19" s="393"/>
      <c r="L19" s="416"/>
      <c r="M19" s="1929" t="s">
        <v>209</v>
      </c>
      <c r="N19" s="1930"/>
      <c r="O19" s="1931"/>
      <c r="P19" s="335"/>
      <c r="Q19" s="335"/>
      <c r="R19" s="335"/>
      <c r="S19" s="335"/>
      <c r="T19" s="335"/>
      <c r="U19" s="165"/>
    </row>
    <row r="20" spans="1:24" ht="15" customHeight="1">
      <c r="A20" s="617"/>
      <c r="F20" s="621"/>
      <c r="G20" s="621"/>
      <c r="H20" s="621"/>
      <c r="I20" s="621"/>
      <c r="J20" s="621"/>
      <c r="K20" s="391"/>
      <c r="L20" s="416"/>
      <c r="M20" s="1920" t="s">
        <v>210</v>
      </c>
      <c r="N20" s="1921"/>
      <c r="O20" s="1922"/>
      <c r="P20" s="335"/>
      <c r="Q20" s="335"/>
      <c r="R20" s="335"/>
      <c r="S20" s="335"/>
      <c r="T20" s="335"/>
      <c r="U20" s="165"/>
    </row>
    <row r="21" spans="1:24" ht="15" customHeight="1">
      <c r="A21" s="622"/>
      <c r="F21" s="623"/>
      <c r="G21" s="623"/>
      <c r="H21" s="623"/>
      <c r="I21" s="623"/>
      <c r="J21" s="623"/>
      <c r="K21" s="393"/>
      <c r="L21" s="416"/>
      <c r="M21" s="1920" t="s">
        <v>211</v>
      </c>
      <c r="N21" s="1921"/>
      <c r="O21" s="1922"/>
      <c r="P21" s="334" t="str">
        <f>IF(AND(P18="",P19="",P20=""),"",((P19-P20)/(P20-P18))*100)</f>
        <v/>
      </c>
      <c r="Q21" s="334" t="str">
        <f>IF(AND(Q18="",Q19="",Q20=""),"",((Q19-Q20)/(Q20-Q18))*100)</f>
        <v/>
      </c>
      <c r="R21" s="334" t="str">
        <f>IF(AND(R18="",R19="",R20=""),"",((R19-R20)/(R20-R18))*100)</f>
        <v/>
      </c>
      <c r="S21" s="334" t="str">
        <f>IF(AND(S18="",S19="",S20=""),"",((S19-S20)/(S20-S18))*100)</f>
        <v/>
      </c>
      <c r="T21" s="334" t="str">
        <f>IF(AND(T18="",T19="",T20=""),"",((T19-T20)/(T20-T18))*100)</f>
        <v/>
      </c>
      <c r="U21" s="165"/>
    </row>
    <row r="22" spans="1:24" ht="15" customHeight="1">
      <c r="A22" s="617"/>
      <c r="F22" s="621"/>
      <c r="G22" s="621"/>
      <c r="H22" s="621"/>
      <c r="I22" s="621"/>
      <c r="J22" s="621"/>
      <c r="K22" s="391"/>
      <c r="L22" s="165"/>
      <c r="M22" s="1925" t="s">
        <v>212</v>
      </c>
      <c r="N22" s="1926"/>
      <c r="O22" s="1926"/>
      <c r="P22" s="1926"/>
      <c r="Q22" s="1926"/>
      <c r="R22" s="1926"/>
      <c r="S22" s="1926"/>
      <c r="T22" s="1927"/>
      <c r="U22" s="165"/>
    </row>
    <row r="23" spans="1:24" ht="15" customHeight="1">
      <c r="A23" s="622"/>
      <c r="F23" s="623"/>
      <c r="G23" s="623"/>
      <c r="H23" s="623"/>
      <c r="I23" s="623"/>
      <c r="J23" s="623"/>
      <c r="K23" s="393"/>
      <c r="L23" s="165"/>
      <c r="M23" s="1928" t="s">
        <v>363</v>
      </c>
      <c r="N23" s="1928"/>
      <c r="O23" s="1928"/>
      <c r="P23" s="333" t="str">
        <f>+IF(P15="","",(P15-P17)/P16)</f>
        <v/>
      </c>
      <c r="Q23" s="333" t="str">
        <f>+IF(Q15="","",(Q15-Q17)/Q16)</f>
        <v/>
      </c>
      <c r="R23" s="333" t="str">
        <f>+IF(R15="","",(R15-R17)/R16)</f>
        <v/>
      </c>
      <c r="S23" s="333" t="str">
        <f>+IF(S15="","",(S15-S17)/S16)</f>
        <v/>
      </c>
      <c r="T23" s="333" t="str">
        <f>IF(T15="","",(T15-T17)/T16)</f>
        <v/>
      </c>
      <c r="U23" s="165"/>
    </row>
    <row r="24" spans="1:24" ht="15" customHeight="1">
      <c r="A24" s="617"/>
      <c r="F24" s="621"/>
      <c r="G24" s="621"/>
      <c r="H24" s="621"/>
      <c r="I24" s="621"/>
      <c r="J24" s="621"/>
      <c r="K24" s="391"/>
      <c r="L24" s="165"/>
      <c r="M24" s="1920" t="s">
        <v>364</v>
      </c>
      <c r="N24" s="1921"/>
      <c r="O24" s="1922"/>
      <c r="P24" s="333" t="str">
        <f>IF(P21="","",(P23/(1+(P21/100))))</f>
        <v/>
      </c>
      <c r="Q24" s="333" t="str">
        <f>IF(Q21="","",(Q23/(1+(Q21/100))))</f>
        <v/>
      </c>
      <c r="R24" s="333" t="str">
        <f>IF(R21="","",(R23/(1+(R21/100))))</f>
        <v/>
      </c>
      <c r="S24" s="333" t="str">
        <f>IF(S21="","",(S23/(1+(S21/100))))</f>
        <v/>
      </c>
      <c r="T24" s="333" t="str">
        <f>IF(T21="","",(T23/(1+(T21/100))))</f>
        <v/>
      </c>
      <c r="U24" s="165"/>
    </row>
    <row r="25" spans="1:24" s="176" customFormat="1" ht="15" customHeight="1">
      <c r="A25" s="622"/>
      <c r="F25" s="623"/>
      <c r="G25" s="623"/>
      <c r="H25" s="623"/>
      <c r="I25" s="623"/>
      <c r="J25" s="623"/>
      <c r="K25" s="393"/>
      <c r="L25" s="165"/>
      <c r="M25" s="1920" t="s">
        <v>365</v>
      </c>
      <c r="N25" s="1921"/>
      <c r="O25" s="1922"/>
      <c r="P25" s="336" t="str">
        <f>IF(P23="","",P23*9.8066)</f>
        <v/>
      </c>
      <c r="Q25" s="336" t="str">
        <f>IF(Q23="","",Q23*9.8066)</f>
        <v/>
      </c>
      <c r="R25" s="336" t="str">
        <f>IF(R23="","",R23*9.8066)</f>
        <v/>
      </c>
      <c r="S25" s="336" t="str">
        <f>IF(S23="","",S23*9.8066)</f>
        <v/>
      </c>
      <c r="T25" s="336" t="str">
        <f>IF(T23="","",T23*9.8066)</f>
        <v/>
      </c>
      <c r="U25" s="165"/>
    </row>
    <row r="26" spans="1:24" ht="15" customHeight="1">
      <c r="A26" s="617"/>
      <c r="B26" s="624"/>
      <c r="C26" s="624"/>
      <c r="D26" s="624"/>
      <c r="E26" s="625"/>
      <c r="F26" s="621"/>
      <c r="G26" s="621"/>
      <c r="H26" s="621"/>
      <c r="I26" s="621"/>
      <c r="J26" s="621"/>
      <c r="K26" s="391"/>
      <c r="L26" s="165"/>
      <c r="M26" s="422"/>
      <c r="N26" s="422"/>
      <c r="O26" s="422"/>
      <c r="P26" s="422"/>
      <c r="Q26" s="422"/>
      <c r="R26" s="422"/>
      <c r="S26" s="422"/>
      <c r="T26" s="422"/>
      <c r="U26" s="165"/>
    </row>
    <row r="27" spans="1:24" s="176" customFormat="1" ht="24.95" customHeight="1">
      <c r="A27" s="392"/>
      <c r="B27" s="1898" t="s">
        <v>213</v>
      </c>
      <c r="C27" s="1899"/>
      <c r="D27" s="1899"/>
      <c r="E27" s="6" t="s">
        <v>46</v>
      </c>
      <c r="F27" s="395"/>
      <c r="G27" s="1900" t="s">
        <v>217</v>
      </c>
      <c r="H27" s="1901"/>
      <c r="I27" s="1901"/>
      <c r="J27" s="6"/>
      <c r="K27" s="396"/>
      <c r="L27" s="165"/>
      <c r="M27" s="422"/>
      <c r="N27" s="422"/>
      <c r="O27" s="422"/>
      <c r="P27" s="422"/>
      <c r="Q27" s="422"/>
      <c r="R27" s="422"/>
      <c r="S27" s="422"/>
      <c r="T27" s="422"/>
      <c r="U27" s="165"/>
    </row>
    <row r="28" spans="1:24" ht="9.9499999999999993" customHeight="1">
      <c r="A28" s="389"/>
      <c r="B28" s="394"/>
      <c r="C28" s="394"/>
      <c r="D28" s="394"/>
      <c r="E28" s="394"/>
      <c r="F28" s="395"/>
      <c r="G28" s="395"/>
      <c r="H28" s="395"/>
      <c r="I28" s="397"/>
      <c r="J28" s="397"/>
      <c r="K28" s="398"/>
      <c r="L28" s="165"/>
      <c r="M28" s="422"/>
      <c r="N28" s="422"/>
      <c r="O28" s="422"/>
      <c r="P28" s="422"/>
      <c r="Q28" s="422"/>
      <c r="R28" s="422"/>
      <c r="S28" s="422"/>
      <c r="T28" s="422"/>
      <c r="U28" s="165"/>
    </row>
    <row r="29" spans="1:24" s="176" customFormat="1" ht="24.95" customHeight="1">
      <c r="A29" s="392"/>
      <c r="B29" s="1898" t="s">
        <v>214</v>
      </c>
      <c r="C29" s="1899"/>
      <c r="D29" s="1899"/>
      <c r="E29" s="560" t="s">
        <v>215</v>
      </c>
      <c r="F29" s="395"/>
      <c r="G29" s="399"/>
      <c r="H29" s="399"/>
      <c r="I29" s="399"/>
      <c r="J29" s="399"/>
      <c r="K29" s="396"/>
      <c r="L29" s="165"/>
      <c r="M29" s="1925" t="s">
        <v>216</v>
      </c>
      <c r="N29" s="1926"/>
      <c r="O29" s="1926"/>
      <c r="P29" s="1926"/>
      <c r="Q29" s="1926"/>
      <c r="R29" s="1926"/>
      <c r="S29" s="1926"/>
      <c r="T29" s="1927"/>
      <c r="U29" s="165"/>
    </row>
    <row r="30" spans="1:24" ht="15" customHeight="1">
      <c r="A30" s="389"/>
      <c r="B30" s="400"/>
      <c r="C30" s="400"/>
      <c r="D30" s="400"/>
      <c r="E30" s="400"/>
      <c r="F30" s="395"/>
      <c r="G30" s="395"/>
      <c r="H30" s="395"/>
      <c r="I30" s="1935"/>
      <c r="J30" s="1935"/>
      <c r="K30" s="1936"/>
      <c r="L30" s="165"/>
      <c r="M30" s="271"/>
      <c r="N30" s="271"/>
      <c r="O30" s="271"/>
      <c r="P30" s="271"/>
      <c r="Q30" s="271"/>
      <c r="R30" s="271"/>
      <c r="S30" s="271"/>
      <c r="T30" s="271"/>
      <c r="U30" s="165"/>
    </row>
    <row r="31" spans="1:24" s="176" customFormat="1" ht="24.95" customHeight="1">
      <c r="A31" s="389"/>
      <c r="B31" s="1898" t="s">
        <v>262</v>
      </c>
      <c r="C31" s="1899"/>
      <c r="D31" s="1899"/>
      <c r="E31" s="9" t="str">
        <f>IF(Q38="","",Q38)</f>
        <v/>
      </c>
      <c r="F31" s="401"/>
      <c r="G31" s="1945" t="str">
        <f>IF(U3="si","Humedad Óptima Corregida:",IF(U3="no","Humedad Óptima:","---"))</f>
        <v>Humedad Óptima:</v>
      </c>
      <c r="H31" s="1946"/>
      <c r="I31" s="41" t="s">
        <v>86</v>
      </c>
      <c r="J31" s="7" t="str">
        <f>IF(J33="","",HLOOKUP($J$33,$P$13:$T$21,9,0))</f>
        <v/>
      </c>
      <c r="K31" s="402"/>
      <c r="L31" s="177"/>
      <c r="M31" s="368" t="s">
        <v>366</v>
      </c>
      <c r="N31" s="369"/>
      <c r="O31" s="370"/>
      <c r="P31" s="337" t="str">
        <f>IF(P13="","",(((9.789*$Q$38)-P13)/(P13*$Q$38))*100)</f>
        <v/>
      </c>
      <c r="Q31" s="337" t="str">
        <f>IF(P13="","",(((9.789*$Q$38)-Q13)/(Q13*$Q$38))*100)</f>
        <v/>
      </c>
      <c r="R31" s="337" t="str">
        <f>IF(P13="","",(((9.789*$Q$38)-R13)/(R13*$Q$38))*100)</f>
        <v/>
      </c>
      <c r="S31" s="337" t="str">
        <f>IF(P13="","",(((9.789*$Q$38)-S13)/(S13*$Q$38))*100)</f>
        <v/>
      </c>
      <c r="T31" s="337" t="str">
        <f>IF(P13="","",(((9.789*$Q$38)-T13)/(T13*$Q$38))*100)</f>
        <v/>
      </c>
      <c r="U31" s="338"/>
    </row>
    <row r="32" spans="1:24" ht="15" customHeight="1">
      <c r="A32" s="389"/>
      <c r="B32" s="394"/>
      <c r="C32" s="394"/>
      <c r="D32" s="394"/>
      <c r="E32" s="394"/>
      <c r="F32" s="401"/>
      <c r="G32" s="403"/>
      <c r="H32" s="403"/>
      <c r="I32" s="403"/>
      <c r="J32" s="395"/>
      <c r="K32" s="402"/>
      <c r="L32" s="165"/>
      <c r="T32" s="40"/>
      <c r="U32" s="165"/>
      <c r="V32" s="176"/>
      <c r="W32" s="176"/>
      <c r="X32" s="176"/>
    </row>
    <row r="33" spans="1:21" s="176" customFormat="1" ht="24.95" customHeight="1">
      <c r="A33" s="389"/>
      <c r="B33" s="1898" t="s">
        <v>263</v>
      </c>
      <c r="C33" s="1899"/>
      <c r="D33" s="1899"/>
      <c r="E33" s="39" t="str">
        <f>IF(P6="","",((P8)/(P8+P9))*100)</f>
        <v/>
      </c>
      <c r="F33" s="401"/>
      <c r="G33" s="1937" t="s">
        <v>441</v>
      </c>
      <c r="H33" s="1938"/>
      <c r="I33" s="1938"/>
      <c r="J33" s="8" t="str">
        <f>(IF(AND(P13="",Q13="",R13="",S13="",T13=""),"",MAX(P13:T13)))</f>
        <v/>
      </c>
      <c r="K33" s="404"/>
      <c r="L33" s="165"/>
      <c r="U33" s="165"/>
    </row>
    <row r="34" spans="1:21" ht="15" customHeight="1">
      <c r="A34" s="389"/>
      <c r="B34" s="394"/>
      <c r="C34" s="394"/>
      <c r="D34" s="394"/>
      <c r="E34" s="394"/>
      <c r="F34" s="405"/>
      <c r="G34" s="403"/>
      <c r="H34" s="403"/>
      <c r="I34" s="403"/>
      <c r="J34" s="405"/>
      <c r="K34" s="406"/>
      <c r="L34" s="165"/>
      <c r="M34" s="166"/>
      <c r="N34" s="166"/>
      <c r="O34" s="166"/>
      <c r="P34" s="166"/>
      <c r="Q34" s="166"/>
      <c r="R34" s="166"/>
      <c r="S34" s="166"/>
      <c r="T34" s="166"/>
      <c r="U34" s="165"/>
    </row>
    <row r="35" spans="1:21" s="176" customFormat="1" ht="24.95" customHeight="1">
      <c r="A35" s="389"/>
      <c r="B35" s="1898" t="s">
        <v>264</v>
      </c>
      <c r="C35" s="1899"/>
      <c r="D35" s="1899"/>
      <c r="E35" s="39" t="str">
        <f>IF(E33="","",100-E33)</f>
        <v/>
      </c>
      <c r="F35" s="407"/>
      <c r="G35" s="1918" t="s">
        <v>288</v>
      </c>
      <c r="H35" s="1919"/>
      <c r="I35" s="1919"/>
      <c r="J35" s="42" t="str">
        <f>IF(J33="","",IF(J33="","",($J$33/9.8066)*1000))</f>
        <v/>
      </c>
      <c r="K35" s="406"/>
      <c r="L35" s="165"/>
      <c r="M35" s="166"/>
      <c r="N35" s="166"/>
      <c r="O35" s="166"/>
      <c r="P35" s="166"/>
      <c r="Q35" s="166"/>
      <c r="R35" s="166"/>
      <c r="S35" s="166"/>
      <c r="T35" s="166"/>
      <c r="U35" s="165"/>
    </row>
    <row r="36" spans="1:21" ht="15" customHeight="1">
      <c r="A36" s="408"/>
      <c r="B36" s="409"/>
      <c r="C36" s="410"/>
      <c r="D36" s="410"/>
      <c r="E36" s="411"/>
      <c r="F36" s="411"/>
      <c r="G36" s="411"/>
      <c r="H36" s="411"/>
      <c r="I36" s="412"/>
      <c r="J36" s="412"/>
      <c r="K36" s="413"/>
    </row>
    <row r="37" spans="1:21" s="176" customFormat="1" ht="12.75" customHeight="1">
      <c r="A37" s="1074" t="s">
        <v>19</v>
      </c>
      <c r="B37" s="1075"/>
      <c r="C37" s="1947"/>
      <c r="D37" s="1947"/>
      <c r="E37" s="1947"/>
      <c r="F37" s="1947"/>
      <c r="G37" s="1947"/>
      <c r="H37" s="1947"/>
      <c r="I37" s="1947"/>
      <c r="J37" s="1947"/>
      <c r="K37" s="1948"/>
    </row>
    <row r="38" spans="1:21" ht="12.75" customHeight="1">
      <c r="A38" s="1942"/>
      <c r="B38" s="1943"/>
      <c r="C38" s="1943"/>
      <c r="D38" s="1943"/>
      <c r="E38" s="1943"/>
      <c r="F38" s="1943"/>
      <c r="G38" s="1943"/>
      <c r="H38" s="1943"/>
      <c r="I38" s="1943"/>
      <c r="J38" s="1943"/>
      <c r="K38" s="1944"/>
      <c r="M38" s="1932" t="s">
        <v>218</v>
      </c>
      <c r="N38" s="1933"/>
      <c r="O38" s="1933"/>
      <c r="P38" s="1934"/>
      <c r="Q38" s="3"/>
    </row>
    <row r="39" spans="1:21" s="176" customFormat="1" ht="12.75" customHeight="1">
      <c r="A39" s="1939"/>
      <c r="B39" s="1940"/>
      <c r="C39" s="1940"/>
      <c r="D39" s="1940"/>
      <c r="E39" s="1940"/>
      <c r="F39" s="1940"/>
      <c r="G39" s="1940"/>
      <c r="H39" s="1940"/>
      <c r="I39" s="1940"/>
      <c r="J39" s="1940"/>
      <c r="K39" s="1941"/>
      <c r="M39" s="1932" t="s">
        <v>219</v>
      </c>
      <c r="N39" s="1933"/>
      <c r="O39" s="1933"/>
      <c r="P39" s="1934"/>
      <c r="Q39" s="261" t="str">
        <f>IF(E33="","",E33)</f>
        <v/>
      </c>
    </row>
    <row r="40" spans="1:21" ht="14.1" customHeight="1">
      <c r="A40" s="1902"/>
      <c r="B40" s="1903"/>
      <c r="C40" s="1895" t="s">
        <v>9</v>
      </c>
      <c r="D40" s="1063"/>
      <c r="E40" s="1088"/>
      <c r="F40" s="1895" t="s">
        <v>10</v>
      </c>
      <c r="G40" s="1063"/>
      <c r="H40" s="1088"/>
      <c r="I40" s="1063" t="s">
        <v>11</v>
      </c>
      <c r="J40" s="1063"/>
      <c r="K40" s="1088"/>
      <c r="M40" s="272"/>
      <c r="N40" s="272"/>
      <c r="O40" s="272"/>
      <c r="P40" s="272"/>
      <c r="Q40" s="272"/>
    </row>
    <row r="41" spans="1:21" ht="39.950000000000003" customHeight="1">
      <c r="A41" s="1896" t="s">
        <v>12</v>
      </c>
      <c r="B41" s="1897"/>
      <c r="C41" s="1892"/>
      <c r="D41" s="1893"/>
      <c r="E41" s="1894"/>
      <c r="F41" s="1892"/>
      <c r="G41" s="1893"/>
      <c r="H41" s="1894"/>
      <c r="I41" s="414"/>
      <c r="J41" s="414"/>
      <c r="K41" s="415"/>
      <c r="M41" s="1915" t="s">
        <v>232</v>
      </c>
      <c r="N41" s="1915"/>
      <c r="O41" s="1915"/>
      <c r="P41" s="1915"/>
      <c r="Q41" s="262" t="str">
        <f>IF(J31="","",J31)</f>
        <v/>
      </c>
    </row>
    <row r="42" spans="1:21" ht="14.1" customHeight="1">
      <c r="A42" s="1908" t="s">
        <v>448</v>
      </c>
      <c r="B42" s="1909"/>
      <c r="C42" s="1913" t="s">
        <v>410</v>
      </c>
      <c r="D42" s="932"/>
      <c r="E42" s="933"/>
      <c r="F42" s="931" t="s">
        <v>410</v>
      </c>
      <c r="G42" s="932"/>
      <c r="H42" s="933"/>
      <c r="I42" s="932" t="s">
        <v>410</v>
      </c>
      <c r="J42" s="932"/>
      <c r="K42" s="933"/>
      <c r="M42" s="272"/>
      <c r="N42" s="272"/>
      <c r="O42" s="272"/>
      <c r="P42" s="272"/>
      <c r="Q42" s="272"/>
    </row>
    <row r="43" spans="1:21" ht="14.1" customHeight="1" thickBot="1">
      <c r="A43" s="1910" t="s">
        <v>13</v>
      </c>
      <c r="B43" s="1911"/>
      <c r="C43" s="1912" t="str">
        <f>IF(C42="--","",VLOOKUP(C42,firmas!A2:B26,2,0))</f>
        <v/>
      </c>
      <c r="D43" s="1906"/>
      <c r="E43" s="1907"/>
      <c r="F43" s="1912" t="str">
        <f>IF(F42="--","",VLOOKUP(F42,firmas!A28:B31,2,0))</f>
        <v/>
      </c>
      <c r="G43" s="1906"/>
      <c r="H43" s="1907"/>
      <c r="I43" s="1906" t="str">
        <f>IF(I42="--","",VLOOKUP(I42,firmas!A33:B34,2))</f>
        <v/>
      </c>
      <c r="J43" s="1906"/>
      <c r="K43" s="1907"/>
      <c r="M43" s="1915" t="s">
        <v>220</v>
      </c>
      <c r="N43" s="1915"/>
      <c r="O43" s="1915"/>
      <c r="P43" s="1915"/>
      <c r="Q43" s="261" t="str">
        <f>+IF(R13="","",R13)</f>
        <v/>
      </c>
    </row>
    <row r="44" spans="1:21" ht="14.1" customHeight="1" thickTop="1" thickBot="1">
      <c r="A44" s="1914" t="s">
        <v>7</v>
      </c>
      <c r="B44" s="1914"/>
      <c r="C44" s="1914"/>
      <c r="D44" s="1914"/>
      <c r="E44" s="1914"/>
      <c r="F44" s="1914"/>
      <c r="G44" s="1914"/>
      <c r="H44" s="1914"/>
      <c r="I44" s="1914"/>
      <c r="J44" s="1914"/>
      <c r="K44" s="1914"/>
    </row>
    <row r="45" spans="1:21" ht="18" customHeight="1" thickTop="1">
      <c r="A45" s="1904" t="s">
        <v>93</v>
      </c>
      <c r="B45" s="1904"/>
      <c r="C45" s="1904"/>
      <c r="D45" s="1904"/>
      <c r="E45" s="1904"/>
      <c r="F45" s="1904"/>
      <c r="G45" s="1904"/>
      <c r="H45" s="1904"/>
      <c r="I45" s="1904"/>
      <c r="J45" s="1904"/>
      <c r="K45" s="1904"/>
    </row>
    <row r="46" spans="1:21" ht="27.95" customHeight="1">
      <c r="A46" s="1905" t="s">
        <v>98</v>
      </c>
      <c r="B46" s="1905"/>
      <c r="C46" s="1905"/>
      <c r="D46" s="1905"/>
      <c r="E46" s="1905"/>
      <c r="F46" s="1905"/>
      <c r="G46" s="1905"/>
      <c r="H46" s="1905"/>
      <c r="I46" s="1905"/>
      <c r="J46" s="1905"/>
      <c r="K46" s="1905"/>
    </row>
    <row r="47" spans="1:21" ht="30" customHeight="1"/>
    <row r="48" spans="1:21" ht="13.5" customHeight="1"/>
    <row r="52" spans="1:21">
      <c r="A52" s="176"/>
    </row>
    <row r="53" spans="1:21" ht="13.5" customHeight="1">
      <c r="A53" s="176"/>
    </row>
    <row r="54" spans="1:21" ht="12.75" customHeight="1">
      <c r="A54" s="176"/>
    </row>
    <row r="55" spans="1:21">
      <c r="A55" s="176"/>
    </row>
    <row r="56" spans="1:21" ht="24.75" customHeight="1">
      <c r="A56" s="176"/>
    </row>
    <row r="57" spans="1:21" ht="34.5" customHeight="1"/>
    <row r="58" spans="1:21">
      <c r="A58" s="176"/>
    </row>
    <row r="59" spans="1:21">
      <c r="A59" s="176"/>
    </row>
    <row r="60" spans="1:21">
      <c r="A60" s="176"/>
    </row>
    <row r="61" spans="1:21">
      <c r="A61" s="176"/>
    </row>
    <row r="63" spans="1:21" s="176" customFormat="1">
      <c r="A63" s="171"/>
      <c r="B63" s="171"/>
      <c r="C63" s="171"/>
      <c r="D63" s="171"/>
      <c r="E63" s="171"/>
      <c r="F63" s="171"/>
      <c r="G63" s="171"/>
      <c r="H63" s="171"/>
      <c r="I63" s="171"/>
      <c r="J63" s="171"/>
      <c r="K63" s="171"/>
      <c r="L63" s="171"/>
      <c r="Q63" s="178"/>
      <c r="R63" s="178"/>
      <c r="U63" s="171"/>
    </row>
    <row r="64" spans="1:21" s="176" customFormat="1">
      <c r="A64" s="171"/>
      <c r="B64" s="171"/>
      <c r="C64" s="171"/>
      <c r="D64" s="171"/>
      <c r="E64" s="171"/>
      <c r="F64" s="171"/>
      <c r="G64" s="171"/>
      <c r="H64" s="171"/>
      <c r="I64" s="171"/>
      <c r="J64" s="171"/>
      <c r="K64" s="171"/>
      <c r="L64" s="171"/>
      <c r="P64" s="179"/>
      <c r="Q64" s="180"/>
      <c r="R64" s="180"/>
      <c r="U64" s="171"/>
    </row>
    <row r="65" spans="1:21" s="176" customFormat="1">
      <c r="A65" s="171"/>
      <c r="B65" s="171"/>
      <c r="C65" s="171"/>
      <c r="D65" s="171"/>
      <c r="E65" s="171"/>
      <c r="F65" s="171"/>
      <c r="G65" s="171"/>
      <c r="H65" s="171"/>
      <c r="I65" s="171"/>
      <c r="J65" s="171"/>
      <c r="K65" s="171"/>
      <c r="L65" s="171"/>
      <c r="P65" s="179"/>
      <c r="Q65" s="180"/>
      <c r="R65" s="180"/>
      <c r="U65" s="171"/>
    </row>
    <row r="66" spans="1:21" s="176" customFormat="1">
      <c r="A66" s="171"/>
      <c r="B66" s="171"/>
      <c r="C66" s="171"/>
      <c r="D66" s="171"/>
      <c r="E66" s="171"/>
      <c r="F66" s="171"/>
      <c r="G66" s="171"/>
      <c r="H66" s="171"/>
      <c r="I66" s="171"/>
      <c r="J66" s="171"/>
      <c r="K66" s="171"/>
      <c r="L66" s="171"/>
      <c r="P66" s="179"/>
      <c r="Q66" s="180"/>
      <c r="R66" s="180"/>
      <c r="U66" s="171"/>
    </row>
    <row r="67" spans="1:21" s="176" customFormat="1">
      <c r="A67" s="171"/>
      <c r="B67" s="171"/>
      <c r="C67" s="171"/>
      <c r="D67" s="171"/>
      <c r="E67" s="171"/>
      <c r="F67" s="171"/>
      <c r="G67" s="171"/>
      <c r="H67" s="171"/>
      <c r="I67" s="171"/>
      <c r="J67" s="171"/>
      <c r="K67" s="171"/>
      <c r="L67" s="171"/>
      <c r="P67" s="179"/>
      <c r="Q67" s="180"/>
      <c r="R67" s="180"/>
      <c r="U67" s="171"/>
    </row>
    <row r="69" spans="1:21" s="176" customFormat="1">
      <c r="A69" s="171"/>
      <c r="B69" s="171"/>
      <c r="C69" s="171"/>
      <c r="D69" s="171"/>
      <c r="E69" s="171"/>
      <c r="F69" s="171"/>
      <c r="G69" s="171"/>
      <c r="H69" s="171"/>
      <c r="I69" s="171"/>
      <c r="J69" s="171"/>
      <c r="K69" s="171"/>
      <c r="L69" s="171"/>
      <c r="Q69" s="181"/>
      <c r="U69" s="171"/>
    </row>
    <row r="70" spans="1:21" s="176" customFormat="1">
      <c r="A70" s="171"/>
      <c r="B70" s="171"/>
      <c r="C70" s="171"/>
      <c r="D70" s="171"/>
      <c r="E70" s="171"/>
      <c r="F70" s="171"/>
      <c r="G70" s="171"/>
      <c r="H70" s="171"/>
      <c r="I70" s="171"/>
      <c r="J70" s="171"/>
      <c r="K70" s="171"/>
      <c r="L70" s="171"/>
      <c r="Q70" s="181"/>
      <c r="U70" s="171"/>
    </row>
    <row r="71" spans="1:21" s="176" customFormat="1">
      <c r="A71" s="171"/>
      <c r="B71" s="171"/>
      <c r="C71" s="171"/>
      <c r="D71" s="171"/>
      <c r="E71" s="171"/>
      <c r="F71" s="171"/>
      <c r="G71" s="171"/>
      <c r="H71" s="171"/>
      <c r="I71" s="171"/>
      <c r="J71" s="171"/>
      <c r="K71" s="171"/>
      <c r="L71" s="171"/>
      <c r="Q71" s="181"/>
      <c r="U71" s="171"/>
    </row>
    <row r="72" spans="1:21" s="176" customFormat="1">
      <c r="A72" s="171"/>
      <c r="B72" s="171"/>
      <c r="C72" s="171"/>
      <c r="D72" s="171"/>
      <c r="E72" s="171"/>
      <c r="F72" s="171"/>
      <c r="G72" s="171"/>
      <c r="H72" s="171"/>
      <c r="I72" s="171"/>
      <c r="J72" s="171"/>
      <c r="K72" s="171"/>
      <c r="L72" s="171"/>
      <c r="Q72" s="181"/>
      <c r="U72" s="171"/>
    </row>
  </sheetData>
  <sheetProtection algorithmName="SHA-512" hashValue="AlnPJF47seJ/Fz1K6YF5a5zFSmVg/Coph33bA9HpOOOV1pE7qee4MloShnBQAS0iIFh182vfSjMSkHz2qeVkOQ==" saltValue="p6C4AGArCZI+XFmdU59GTg==" spinCount="100000" sheet="1" formatCells="0"/>
  <mergeCells count="85">
    <mergeCell ref="U3:U4"/>
    <mergeCell ref="T6:T7"/>
    <mergeCell ref="M7:O7"/>
    <mergeCell ref="M5:O5"/>
    <mergeCell ref="Q5:R5"/>
    <mergeCell ref="Q7:R7"/>
    <mergeCell ref="R3:T4"/>
    <mergeCell ref="Q8:R8"/>
    <mergeCell ref="M6:O6"/>
    <mergeCell ref="Q6:R6"/>
    <mergeCell ref="M13:O13"/>
    <mergeCell ref="M17:O17"/>
    <mergeCell ref="M12:O12"/>
    <mergeCell ref="M14:O14"/>
    <mergeCell ref="M9:O9"/>
    <mergeCell ref="M11:O11"/>
    <mergeCell ref="M8:O8"/>
    <mergeCell ref="M18:O18"/>
    <mergeCell ref="M39:P39"/>
    <mergeCell ref="I30:K30"/>
    <mergeCell ref="G33:I33"/>
    <mergeCell ref="M29:T29"/>
    <mergeCell ref="M38:P38"/>
    <mergeCell ref="A39:K39"/>
    <mergeCell ref="M19:O19"/>
    <mergeCell ref="B27:D27"/>
    <mergeCell ref="A38:K38"/>
    <mergeCell ref="G31:H31"/>
    <mergeCell ref="A37:B37"/>
    <mergeCell ref="C37:K37"/>
    <mergeCell ref="M43:P43"/>
    <mergeCell ref="J8:K8"/>
    <mergeCell ref="G35:I35"/>
    <mergeCell ref="B31:D31"/>
    <mergeCell ref="B29:D29"/>
    <mergeCell ref="M41:P41"/>
    <mergeCell ref="M20:O20"/>
    <mergeCell ref="B11:E11"/>
    <mergeCell ref="F11:G11"/>
    <mergeCell ref="I11:J11"/>
    <mergeCell ref="M21:O21"/>
    <mergeCell ref="M22:T22"/>
    <mergeCell ref="M23:O23"/>
    <mergeCell ref="M24:O24"/>
    <mergeCell ref="M25:O25"/>
    <mergeCell ref="M15:O15"/>
    <mergeCell ref="A45:K45"/>
    <mergeCell ref="A46:K46"/>
    <mergeCell ref="I42:K42"/>
    <mergeCell ref="I43:K43"/>
    <mergeCell ref="A42:B42"/>
    <mergeCell ref="A43:B43"/>
    <mergeCell ref="F42:H42"/>
    <mergeCell ref="F43:H43"/>
    <mergeCell ref="C42:E42"/>
    <mergeCell ref="C43:E43"/>
    <mergeCell ref="A44:K44"/>
    <mergeCell ref="I40:K40"/>
    <mergeCell ref="G27:I27"/>
    <mergeCell ref="A40:B40"/>
    <mergeCell ref="B35:D35"/>
    <mergeCell ref="F40:H40"/>
    <mergeCell ref="F41:H41"/>
    <mergeCell ref="C40:E40"/>
    <mergeCell ref="C41:E41"/>
    <mergeCell ref="A41:B41"/>
    <mergeCell ref="B33:D33"/>
    <mergeCell ref="E7:F7"/>
    <mergeCell ref="B7:D7"/>
    <mergeCell ref="B8:D8"/>
    <mergeCell ref="B9:G9"/>
    <mergeCell ref="J6:K6"/>
    <mergeCell ref="H6:I6"/>
    <mergeCell ref="H8:I8"/>
    <mergeCell ref="J7:K7"/>
    <mergeCell ref="E8:F8"/>
    <mergeCell ref="J9:K9"/>
    <mergeCell ref="A1:B5"/>
    <mergeCell ref="B6:G6"/>
    <mergeCell ref="C1:K1"/>
    <mergeCell ref="C2:K2"/>
    <mergeCell ref="C3:K3"/>
    <mergeCell ref="C4:G4"/>
    <mergeCell ref="C5:K5"/>
    <mergeCell ref="H4:K4"/>
  </mergeCells>
  <printOptions horizontalCentered="1"/>
  <pageMargins left="0.59055118110236227" right="0.19685039370078741" top="0" bottom="0" header="0" footer="0.78740157480314965"/>
  <pageSetup orientation="portrait" r:id="rId1"/>
  <headerFooter scaleWithDoc="0">
    <oddHeader xml:space="preserve">&amp;L&amp;"Eurostile Extended,Regular Negrita"&amp;16
</oddHeader>
    <oddFooter>&amp;L&amp;6Calle 26 No. 57-41 Torre 8 Pisos 7-8 CEMSA - CP: 1113111            
Pbx: 3779555  - Información: Línea 195     
www.umv.gov.co111311&amp;C&amp;6PRO-FM-007
Página 1 de 1</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firmas!$A$2:$A$26</xm:f>
          </x14:formula1>
          <xm:sqref>C42:E42</xm:sqref>
        </x14:dataValidation>
        <x14:dataValidation type="list" allowBlank="1" showInputMessage="1" showErrorMessage="1">
          <x14:formula1>
            <xm:f>firmas!$A$28:$A$31</xm:f>
          </x14:formula1>
          <xm:sqref>F42:H42</xm:sqref>
        </x14:dataValidation>
        <x14:dataValidation type="list" allowBlank="1" showInputMessage="1" showErrorMessage="1">
          <x14:formula1>
            <xm:f>firmas!$A$33:$A$35</xm:f>
          </x14:formula1>
          <xm:sqref>I42:K42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B1:BO117"/>
  <sheetViews>
    <sheetView showGridLines="0" view="pageBreakPreview" topLeftCell="AH28" zoomScaleSheetLayoutView="100" workbookViewId="0">
      <selection activeCell="F28" sqref="C28:H28"/>
    </sheetView>
  </sheetViews>
  <sheetFormatPr baseColWidth="10" defaultRowHeight="12.75"/>
  <cols>
    <col min="1" max="12" width="2.7109375" style="140" customWidth="1"/>
    <col min="13" max="14" width="6.140625" style="140" customWidth="1"/>
    <col min="15" max="17" width="2.7109375" style="140" customWidth="1"/>
    <col min="18" max="23" width="2.7109375" style="207" customWidth="1"/>
    <col min="24" max="24" width="14.7109375" style="207" customWidth="1"/>
    <col min="25" max="25" width="6.28515625" style="207" customWidth="1"/>
    <col min="26" max="32" width="2.7109375" style="207" customWidth="1"/>
    <col min="33" max="35" width="2.7109375" style="140" customWidth="1"/>
    <col min="36" max="36" width="2.7109375" style="209" customWidth="1"/>
    <col min="37" max="37" width="20.5703125" style="140" customWidth="1"/>
    <col min="38" max="38" width="12.7109375" style="140" customWidth="1"/>
    <col min="39" max="39" width="13.42578125" style="140" customWidth="1"/>
    <col min="40" max="40" width="14.28515625" style="140" customWidth="1"/>
    <col min="41" max="41" width="12.5703125" style="140" customWidth="1"/>
    <col min="42" max="42" width="12.7109375" style="140" customWidth="1"/>
    <col min="43" max="43" width="11.42578125" style="140" customWidth="1"/>
    <col min="44" max="44" width="13.28515625" style="379" customWidth="1"/>
    <col min="45" max="45" width="8.7109375" style="321" customWidth="1"/>
    <col min="46" max="46" width="4.7109375" style="321" customWidth="1"/>
    <col min="47" max="48" width="10.28515625" style="321" customWidth="1"/>
    <col min="49" max="49" width="16.7109375" style="321" customWidth="1"/>
    <col min="50" max="51" width="8.7109375" style="321" customWidth="1"/>
    <col min="52" max="52" width="16.7109375" style="321" customWidth="1"/>
    <col min="53" max="53" width="16.28515625" style="147" customWidth="1"/>
    <col min="54" max="258" width="11.42578125" style="140"/>
    <col min="259" max="270" width="2.7109375" style="140" customWidth="1"/>
    <col min="271" max="272" width="6.140625" style="140" customWidth="1"/>
    <col min="273" max="281" width="2.7109375" style="140" customWidth="1"/>
    <col min="282" max="282" width="14.7109375" style="140" customWidth="1"/>
    <col min="283" max="283" width="6.28515625" style="140" customWidth="1"/>
    <col min="284" max="294" width="2.7109375" style="140" customWidth="1"/>
    <col min="295" max="295" width="25.42578125" style="140" customWidth="1"/>
    <col min="296" max="296" width="17.85546875" style="140" customWidth="1"/>
    <col min="297" max="297" width="15.85546875" style="140" customWidth="1"/>
    <col min="298" max="298" width="14.7109375" style="140" customWidth="1"/>
    <col min="299" max="299" width="15.85546875" style="140" customWidth="1"/>
    <col min="300" max="300" width="15" style="140" customWidth="1"/>
    <col min="301" max="301" width="18.140625" style="140" customWidth="1"/>
    <col min="302" max="302" width="22.42578125" style="140" customWidth="1"/>
    <col min="303" max="303" width="23.7109375" style="140" customWidth="1"/>
    <col min="304" max="304" width="14" style="140" customWidth="1"/>
    <col min="305" max="305" width="15" style="140" customWidth="1"/>
    <col min="306" max="306" width="21.28515625" style="140" customWidth="1"/>
    <col min="307" max="307" width="15.85546875" style="140" customWidth="1"/>
    <col min="308" max="308" width="18.28515625" style="140" customWidth="1"/>
    <col min="309" max="309" width="16.28515625" style="140" customWidth="1"/>
    <col min="310" max="514" width="11.42578125" style="140"/>
    <col min="515" max="526" width="2.7109375" style="140" customWidth="1"/>
    <col min="527" max="528" width="6.140625" style="140" customWidth="1"/>
    <col min="529" max="537" width="2.7109375" style="140" customWidth="1"/>
    <col min="538" max="538" width="14.7109375" style="140" customWidth="1"/>
    <col min="539" max="539" width="6.28515625" style="140" customWidth="1"/>
    <col min="540" max="550" width="2.7109375" style="140" customWidth="1"/>
    <col min="551" max="551" width="25.42578125" style="140" customWidth="1"/>
    <col min="552" max="552" width="17.85546875" style="140" customWidth="1"/>
    <col min="553" max="553" width="15.85546875" style="140" customWidth="1"/>
    <col min="554" max="554" width="14.7109375" style="140" customWidth="1"/>
    <col min="555" max="555" width="15.85546875" style="140" customWidth="1"/>
    <col min="556" max="556" width="15" style="140" customWidth="1"/>
    <col min="557" max="557" width="18.140625" style="140" customWidth="1"/>
    <col min="558" max="558" width="22.42578125" style="140" customWidth="1"/>
    <col min="559" max="559" width="23.7109375" style="140" customWidth="1"/>
    <col min="560" max="560" width="14" style="140" customWidth="1"/>
    <col min="561" max="561" width="15" style="140" customWidth="1"/>
    <col min="562" max="562" width="21.28515625" style="140" customWidth="1"/>
    <col min="563" max="563" width="15.85546875" style="140" customWidth="1"/>
    <col min="564" max="564" width="18.28515625" style="140" customWidth="1"/>
    <col min="565" max="565" width="16.28515625" style="140" customWidth="1"/>
    <col min="566" max="770" width="11.42578125" style="140"/>
    <col min="771" max="782" width="2.7109375" style="140" customWidth="1"/>
    <col min="783" max="784" width="6.140625" style="140" customWidth="1"/>
    <col min="785" max="793" width="2.7109375" style="140" customWidth="1"/>
    <col min="794" max="794" width="14.7109375" style="140" customWidth="1"/>
    <col min="795" max="795" width="6.28515625" style="140" customWidth="1"/>
    <col min="796" max="806" width="2.7109375" style="140" customWidth="1"/>
    <col min="807" max="807" width="25.42578125" style="140" customWidth="1"/>
    <col min="808" max="808" width="17.85546875" style="140" customWidth="1"/>
    <col min="809" max="809" width="15.85546875" style="140" customWidth="1"/>
    <col min="810" max="810" width="14.7109375" style="140" customWidth="1"/>
    <col min="811" max="811" width="15.85546875" style="140" customWidth="1"/>
    <col min="812" max="812" width="15" style="140" customWidth="1"/>
    <col min="813" max="813" width="18.140625" style="140" customWidth="1"/>
    <col min="814" max="814" width="22.42578125" style="140" customWidth="1"/>
    <col min="815" max="815" width="23.7109375" style="140" customWidth="1"/>
    <col min="816" max="816" width="14" style="140" customWidth="1"/>
    <col min="817" max="817" width="15" style="140" customWidth="1"/>
    <col min="818" max="818" width="21.28515625" style="140" customWidth="1"/>
    <col min="819" max="819" width="15.85546875" style="140" customWidth="1"/>
    <col min="820" max="820" width="18.28515625" style="140" customWidth="1"/>
    <col min="821" max="821" width="16.28515625" style="140" customWidth="1"/>
    <col min="822" max="1026" width="11.42578125" style="140"/>
    <col min="1027" max="1038" width="2.7109375" style="140" customWidth="1"/>
    <col min="1039" max="1040" width="6.140625" style="140" customWidth="1"/>
    <col min="1041" max="1049" width="2.7109375" style="140" customWidth="1"/>
    <col min="1050" max="1050" width="14.7109375" style="140" customWidth="1"/>
    <col min="1051" max="1051" width="6.28515625" style="140" customWidth="1"/>
    <col min="1052" max="1062" width="2.7109375" style="140" customWidth="1"/>
    <col min="1063" max="1063" width="25.42578125" style="140" customWidth="1"/>
    <col min="1064" max="1064" width="17.85546875" style="140" customWidth="1"/>
    <col min="1065" max="1065" width="15.85546875" style="140" customWidth="1"/>
    <col min="1066" max="1066" width="14.7109375" style="140" customWidth="1"/>
    <col min="1067" max="1067" width="15.85546875" style="140" customWidth="1"/>
    <col min="1068" max="1068" width="15" style="140" customWidth="1"/>
    <col min="1069" max="1069" width="18.140625" style="140" customWidth="1"/>
    <col min="1070" max="1070" width="22.42578125" style="140" customWidth="1"/>
    <col min="1071" max="1071" width="23.7109375" style="140" customWidth="1"/>
    <col min="1072" max="1072" width="14" style="140" customWidth="1"/>
    <col min="1073" max="1073" width="15" style="140" customWidth="1"/>
    <col min="1074" max="1074" width="21.28515625" style="140" customWidth="1"/>
    <col min="1075" max="1075" width="15.85546875" style="140" customWidth="1"/>
    <col min="1076" max="1076" width="18.28515625" style="140" customWidth="1"/>
    <col min="1077" max="1077" width="16.28515625" style="140" customWidth="1"/>
    <col min="1078" max="1282" width="11.42578125" style="140"/>
    <col min="1283" max="1294" width="2.7109375" style="140" customWidth="1"/>
    <col min="1295" max="1296" width="6.140625" style="140" customWidth="1"/>
    <col min="1297" max="1305" width="2.7109375" style="140" customWidth="1"/>
    <col min="1306" max="1306" width="14.7109375" style="140" customWidth="1"/>
    <col min="1307" max="1307" width="6.28515625" style="140" customWidth="1"/>
    <col min="1308" max="1318" width="2.7109375" style="140" customWidth="1"/>
    <col min="1319" max="1319" width="25.42578125" style="140" customWidth="1"/>
    <col min="1320" max="1320" width="17.85546875" style="140" customWidth="1"/>
    <col min="1321" max="1321" width="15.85546875" style="140" customWidth="1"/>
    <col min="1322" max="1322" width="14.7109375" style="140" customWidth="1"/>
    <col min="1323" max="1323" width="15.85546875" style="140" customWidth="1"/>
    <col min="1324" max="1324" width="15" style="140" customWidth="1"/>
    <col min="1325" max="1325" width="18.140625" style="140" customWidth="1"/>
    <col min="1326" max="1326" width="22.42578125" style="140" customWidth="1"/>
    <col min="1327" max="1327" width="23.7109375" style="140" customWidth="1"/>
    <col min="1328" max="1328" width="14" style="140" customWidth="1"/>
    <col min="1329" max="1329" width="15" style="140" customWidth="1"/>
    <col min="1330" max="1330" width="21.28515625" style="140" customWidth="1"/>
    <col min="1331" max="1331" width="15.85546875" style="140" customWidth="1"/>
    <col min="1332" max="1332" width="18.28515625" style="140" customWidth="1"/>
    <col min="1333" max="1333" width="16.28515625" style="140" customWidth="1"/>
    <col min="1334" max="1538" width="11.42578125" style="140"/>
    <col min="1539" max="1550" width="2.7109375" style="140" customWidth="1"/>
    <col min="1551" max="1552" width="6.140625" style="140" customWidth="1"/>
    <col min="1553" max="1561" width="2.7109375" style="140" customWidth="1"/>
    <col min="1562" max="1562" width="14.7109375" style="140" customWidth="1"/>
    <col min="1563" max="1563" width="6.28515625" style="140" customWidth="1"/>
    <col min="1564" max="1574" width="2.7109375" style="140" customWidth="1"/>
    <col min="1575" max="1575" width="25.42578125" style="140" customWidth="1"/>
    <col min="1576" max="1576" width="17.85546875" style="140" customWidth="1"/>
    <col min="1577" max="1577" width="15.85546875" style="140" customWidth="1"/>
    <col min="1578" max="1578" width="14.7109375" style="140" customWidth="1"/>
    <col min="1579" max="1579" width="15.85546875" style="140" customWidth="1"/>
    <col min="1580" max="1580" width="15" style="140" customWidth="1"/>
    <col min="1581" max="1581" width="18.140625" style="140" customWidth="1"/>
    <col min="1582" max="1582" width="22.42578125" style="140" customWidth="1"/>
    <col min="1583" max="1583" width="23.7109375" style="140" customWidth="1"/>
    <col min="1584" max="1584" width="14" style="140" customWidth="1"/>
    <col min="1585" max="1585" width="15" style="140" customWidth="1"/>
    <col min="1586" max="1586" width="21.28515625" style="140" customWidth="1"/>
    <col min="1587" max="1587" width="15.85546875" style="140" customWidth="1"/>
    <col min="1588" max="1588" width="18.28515625" style="140" customWidth="1"/>
    <col min="1589" max="1589" width="16.28515625" style="140" customWidth="1"/>
    <col min="1590" max="1794" width="11.42578125" style="140"/>
    <col min="1795" max="1806" width="2.7109375" style="140" customWidth="1"/>
    <col min="1807" max="1808" width="6.140625" style="140" customWidth="1"/>
    <col min="1809" max="1817" width="2.7109375" style="140" customWidth="1"/>
    <col min="1818" max="1818" width="14.7109375" style="140" customWidth="1"/>
    <col min="1819" max="1819" width="6.28515625" style="140" customWidth="1"/>
    <col min="1820" max="1830" width="2.7109375" style="140" customWidth="1"/>
    <col min="1831" max="1831" width="25.42578125" style="140" customWidth="1"/>
    <col min="1832" max="1832" width="17.85546875" style="140" customWidth="1"/>
    <col min="1833" max="1833" width="15.85546875" style="140" customWidth="1"/>
    <col min="1834" max="1834" width="14.7109375" style="140" customWidth="1"/>
    <col min="1835" max="1835" width="15.85546875" style="140" customWidth="1"/>
    <col min="1836" max="1836" width="15" style="140" customWidth="1"/>
    <col min="1837" max="1837" width="18.140625" style="140" customWidth="1"/>
    <col min="1838" max="1838" width="22.42578125" style="140" customWidth="1"/>
    <col min="1839" max="1839" width="23.7109375" style="140" customWidth="1"/>
    <col min="1840" max="1840" width="14" style="140" customWidth="1"/>
    <col min="1841" max="1841" width="15" style="140" customWidth="1"/>
    <col min="1842" max="1842" width="21.28515625" style="140" customWidth="1"/>
    <col min="1843" max="1843" width="15.85546875" style="140" customWidth="1"/>
    <col min="1844" max="1844" width="18.28515625" style="140" customWidth="1"/>
    <col min="1845" max="1845" width="16.28515625" style="140" customWidth="1"/>
    <col min="1846" max="2050" width="11.42578125" style="140"/>
    <col min="2051" max="2062" width="2.7109375" style="140" customWidth="1"/>
    <col min="2063" max="2064" width="6.140625" style="140" customWidth="1"/>
    <col min="2065" max="2073" width="2.7109375" style="140" customWidth="1"/>
    <col min="2074" max="2074" width="14.7109375" style="140" customWidth="1"/>
    <col min="2075" max="2075" width="6.28515625" style="140" customWidth="1"/>
    <col min="2076" max="2086" width="2.7109375" style="140" customWidth="1"/>
    <col min="2087" max="2087" width="25.42578125" style="140" customWidth="1"/>
    <col min="2088" max="2088" width="17.85546875" style="140" customWidth="1"/>
    <col min="2089" max="2089" width="15.85546875" style="140" customWidth="1"/>
    <col min="2090" max="2090" width="14.7109375" style="140" customWidth="1"/>
    <col min="2091" max="2091" width="15.85546875" style="140" customWidth="1"/>
    <col min="2092" max="2092" width="15" style="140" customWidth="1"/>
    <col min="2093" max="2093" width="18.140625" style="140" customWidth="1"/>
    <col min="2094" max="2094" width="22.42578125" style="140" customWidth="1"/>
    <col min="2095" max="2095" width="23.7109375" style="140" customWidth="1"/>
    <col min="2096" max="2096" width="14" style="140" customWidth="1"/>
    <col min="2097" max="2097" width="15" style="140" customWidth="1"/>
    <col min="2098" max="2098" width="21.28515625" style="140" customWidth="1"/>
    <col min="2099" max="2099" width="15.85546875" style="140" customWidth="1"/>
    <col min="2100" max="2100" width="18.28515625" style="140" customWidth="1"/>
    <col min="2101" max="2101" width="16.28515625" style="140" customWidth="1"/>
    <col min="2102" max="2306" width="11.42578125" style="140"/>
    <col min="2307" max="2318" width="2.7109375" style="140" customWidth="1"/>
    <col min="2319" max="2320" width="6.140625" style="140" customWidth="1"/>
    <col min="2321" max="2329" width="2.7109375" style="140" customWidth="1"/>
    <col min="2330" max="2330" width="14.7109375" style="140" customWidth="1"/>
    <col min="2331" max="2331" width="6.28515625" style="140" customWidth="1"/>
    <col min="2332" max="2342" width="2.7109375" style="140" customWidth="1"/>
    <col min="2343" max="2343" width="25.42578125" style="140" customWidth="1"/>
    <col min="2344" max="2344" width="17.85546875" style="140" customWidth="1"/>
    <col min="2345" max="2345" width="15.85546875" style="140" customWidth="1"/>
    <col min="2346" max="2346" width="14.7109375" style="140" customWidth="1"/>
    <col min="2347" max="2347" width="15.85546875" style="140" customWidth="1"/>
    <col min="2348" max="2348" width="15" style="140" customWidth="1"/>
    <col min="2349" max="2349" width="18.140625" style="140" customWidth="1"/>
    <col min="2350" max="2350" width="22.42578125" style="140" customWidth="1"/>
    <col min="2351" max="2351" width="23.7109375" style="140" customWidth="1"/>
    <col min="2352" max="2352" width="14" style="140" customWidth="1"/>
    <col min="2353" max="2353" width="15" style="140" customWidth="1"/>
    <col min="2354" max="2354" width="21.28515625" style="140" customWidth="1"/>
    <col min="2355" max="2355" width="15.85546875" style="140" customWidth="1"/>
    <col min="2356" max="2356" width="18.28515625" style="140" customWidth="1"/>
    <col min="2357" max="2357" width="16.28515625" style="140" customWidth="1"/>
    <col min="2358" max="2562" width="11.42578125" style="140"/>
    <col min="2563" max="2574" width="2.7109375" style="140" customWidth="1"/>
    <col min="2575" max="2576" width="6.140625" style="140" customWidth="1"/>
    <col min="2577" max="2585" width="2.7109375" style="140" customWidth="1"/>
    <col min="2586" max="2586" width="14.7109375" style="140" customWidth="1"/>
    <col min="2587" max="2587" width="6.28515625" style="140" customWidth="1"/>
    <col min="2588" max="2598" width="2.7109375" style="140" customWidth="1"/>
    <col min="2599" max="2599" width="25.42578125" style="140" customWidth="1"/>
    <col min="2600" max="2600" width="17.85546875" style="140" customWidth="1"/>
    <col min="2601" max="2601" width="15.85546875" style="140" customWidth="1"/>
    <col min="2602" max="2602" width="14.7109375" style="140" customWidth="1"/>
    <col min="2603" max="2603" width="15.85546875" style="140" customWidth="1"/>
    <col min="2604" max="2604" width="15" style="140" customWidth="1"/>
    <col min="2605" max="2605" width="18.140625" style="140" customWidth="1"/>
    <col min="2606" max="2606" width="22.42578125" style="140" customWidth="1"/>
    <col min="2607" max="2607" width="23.7109375" style="140" customWidth="1"/>
    <col min="2608" max="2608" width="14" style="140" customWidth="1"/>
    <col min="2609" max="2609" width="15" style="140" customWidth="1"/>
    <col min="2610" max="2610" width="21.28515625" style="140" customWidth="1"/>
    <col min="2611" max="2611" width="15.85546875" style="140" customWidth="1"/>
    <col min="2612" max="2612" width="18.28515625" style="140" customWidth="1"/>
    <col min="2613" max="2613" width="16.28515625" style="140" customWidth="1"/>
    <col min="2614" max="2818" width="11.42578125" style="140"/>
    <col min="2819" max="2830" width="2.7109375" style="140" customWidth="1"/>
    <col min="2831" max="2832" width="6.140625" style="140" customWidth="1"/>
    <col min="2833" max="2841" width="2.7109375" style="140" customWidth="1"/>
    <col min="2842" max="2842" width="14.7109375" style="140" customWidth="1"/>
    <col min="2843" max="2843" width="6.28515625" style="140" customWidth="1"/>
    <col min="2844" max="2854" width="2.7109375" style="140" customWidth="1"/>
    <col min="2855" max="2855" width="25.42578125" style="140" customWidth="1"/>
    <col min="2856" max="2856" width="17.85546875" style="140" customWidth="1"/>
    <col min="2857" max="2857" width="15.85546875" style="140" customWidth="1"/>
    <col min="2858" max="2858" width="14.7109375" style="140" customWidth="1"/>
    <col min="2859" max="2859" width="15.85546875" style="140" customWidth="1"/>
    <col min="2860" max="2860" width="15" style="140" customWidth="1"/>
    <col min="2861" max="2861" width="18.140625" style="140" customWidth="1"/>
    <col min="2862" max="2862" width="22.42578125" style="140" customWidth="1"/>
    <col min="2863" max="2863" width="23.7109375" style="140" customWidth="1"/>
    <col min="2864" max="2864" width="14" style="140" customWidth="1"/>
    <col min="2865" max="2865" width="15" style="140" customWidth="1"/>
    <col min="2866" max="2866" width="21.28515625" style="140" customWidth="1"/>
    <col min="2867" max="2867" width="15.85546875" style="140" customWidth="1"/>
    <col min="2868" max="2868" width="18.28515625" style="140" customWidth="1"/>
    <col min="2869" max="2869" width="16.28515625" style="140" customWidth="1"/>
    <col min="2870" max="3074" width="11.42578125" style="140"/>
    <col min="3075" max="3086" width="2.7109375" style="140" customWidth="1"/>
    <col min="3087" max="3088" width="6.140625" style="140" customWidth="1"/>
    <col min="3089" max="3097" width="2.7109375" style="140" customWidth="1"/>
    <col min="3098" max="3098" width="14.7109375" style="140" customWidth="1"/>
    <col min="3099" max="3099" width="6.28515625" style="140" customWidth="1"/>
    <col min="3100" max="3110" width="2.7109375" style="140" customWidth="1"/>
    <col min="3111" max="3111" width="25.42578125" style="140" customWidth="1"/>
    <col min="3112" max="3112" width="17.85546875" style="140" customWidth="1"/>
    <col min="3113" max="3113" width="15.85546875" style="140" customWidth="1"/>
    <col min="3114" max="3114" width="14.7109375" style="140" customWidth="1"/>
    <col min="3115" max="3115" width="15.85546875" style="140" customWidth="1"/>
    <col min="3116" max="3116" width="15" style="140" customWidth="1"/>
    <col min="3117" max="3117" width="18.140625" style="140" customWidth="1"/>
    <col min="3118" max="3118" width="22.42578125" style="140" customWidth="1"/>
    <col min="3119" max="3119" width="23.7109375" style="140" customWidth="1"/>
    <col min="3120" max="3120" width="14" style="140" customWidth="1"/>
    <col min="3121" max="3121" width="15" style="140" customWidth="1"/>
    <col min="3122" max="3122" width="21.28515625" style="140" customWidth="1"/>
    <col min="3123" max="3123" width="15.85546875" style="140" customWidth="1"/>
    <col min="3124" max="3124" width="18.28515625" style="140" customWidth="1"/>
    <col min="3125" max="3125" width="16.28515625" style="140" customWidth="1"/>
    <col min="3126" max="3330" width="11.42578125" style="140"/>
    <col min="3331" max="3342" width="2.7109375" style="140" customWidth="1"/>
    <col min="3343" max="3344" width="6.140625" style="140" customWidth="1"/>
    <col min="3345" max="3353" width="2.7109375" style="140" customWidth="1"/>
    <col min="3354" max="3354" width="14.7109375" style="140" customWidth="1"/>
    <col min="3355" max="3355" width="6.28515625" style="140" customWidth="1"/>
    <col min="3356" max="3366" width="2.7109375" style="140" customWidth="1"/>
    <col min="3367" max="3367" width="25.42578125" style="140" customWidth="1"/>
    <col min="3368" max="3368" width="17.85546875" style="140" customWidth="1"/>
    <col min="3369" max="3369" width="15.85546875" style="140" customWidth="1"/>
    <col min="3370" max="3370" width="14.7109375" style="140" customWidth="1"/>
    <col min="3371" max="3371" width="15.85546875" style="140" customWidth="1"/>
    <col min="3372" max="3372" width="15" style="140" customWidth="1"/>
    <col min="3373" max="3373" width="18.140625" style="140" customWidth="1"/>
    <col min="3374" max="3374" width="22.42578125" style="140" customWidth="1"/>
    <col min="3375" max="3375" width="23.7109375" style="140" customWidth="1"/>
    <col min="3376" max="3376" width="14" style="140" customWidth="1"/>
    <col min="3377" max="3377" width="15" style="140" customWidth="1"/>
    <col min="3378" max="3378" width="21.28515625" style="140" customWidth="1"/>
    <col min="3379" max="3379" width="15.85546875" style="140" customWidth="1"/>
    <col min="3380" max="3380" width="18.28515625" style="140" customWidth="1"/>
    <col min="3381" max="3381" width="16.28515625" style="140" customWidth="1"/>
    <col min="3382" max="3586" width="11.42578125" style="140"/>
    <col min="3587" max="3598" width="2.7109375" style="140" customWidth="1"/>
    <col min="3599" max="3600" width="6.140625" style="140" customWidth="1"/>
    <col min="3601" max="3609" width="2.7109375" style="140" customWidth="1"/>
    <col min="3610" max="3610" width="14.7109375" style="140" customWidth="1"/>
    <col min="3611" max="3611" width="6.28515625" style="140" customWidth="1"/>
    <col min="3612" max="3622" width="2.7109375" style="140" customWidth="1"/>
    <col min="3623" max="3623" width="25.42578125" style="140" customWidth="1"/>
    <col min="3624" max="3624" width="17.85546875" style="140" customWidth="1"/>
    <col min="3625" max="3625" width="15.85546875" style="140" customWidth="1"/>
    <col min="3626" max="3626" width="14.7109375" style="140" customWidth="1"/>
    <col min="3627" max="3627" width="15.85546875" style="140" customWidth="1"/>
    <col min="3628" max="3628" width="15" style="140" customWidth="1"/>
    <col min="3629" max="3629" width="18.140625" style="140" customWidth="1"/>
    <col min="3630" max="3630" width="22.42578125" style="140" customWidth="1"/>
    <col min="3631" max="3631" width="23.7109375" style="140" customWidth="1"/>
    <col min="3632" max="3632" width="14" style="140" customWidth="1"/>
    <col min="3633" max="3633" width="15" style="140" customWidth="1"/>
    <col min="3634" max="3634" width="21.28515625" style="140" customWidth="1"/>
    <col min="3635" max="3635" width="15.85546875" style="140" customWidth="1"/>
    <col min="3636" max="3636" width="18.28515625" style="140" customWidth="1"/>
    <col min="3637" max="3637" width="16.28515625" style="140" customWidth="1"/>
    <col min="3638" max="3842" width="11.42578125" style="140"/>
    <col min="3843" max="3854" width="2.7109375" style="140" customWidth="1"/>
    <col min="3855" max="3856" width="6.140625" style="140" customWidth="1"/>
    <col min="3857" max="3865" width="2.7109375" style="140" customWidth="1"/>
    <col min="3866" max="3866" width="14.7109375" style="140" customWidth="1"/>
    <col min="3867" max="3867" width="6.28515625" style="140" customWidth="1"/>
    <col min="3868" max="3878" width="2.7109375" style="140" customWidth="1"/>
    <col min="3879" max="3879" width="25.42578125" style="140" customWidth="1"/>
    <col min="3880" max="3880" width="17.85546875" style="140" customWidth="1"/>
    <col min="3881" max="3881" width="15.85546875" style="140" customWidth="1"/>
    <col min="3882" max="3882" width="14.7109375" style="140" customWidth="1"/>
    <col min="3883" max="3883" width="15.85546875" style="140" customWidth="1"/>
    <col min="3884" max="3884" width="15" style="140" customWidth="1"/>
    <col min="3885" max="3885" width="18.140625" style="140" customWidth="1"/>
    <col min="3886" max="3886" width="22.42578125" style="140" customWidth="1"/>
    <col min="3887" max="3887" width="23.7109375" style="140" customWidth="1"/>
    <col min="3888" max="3888" width="14" style="140" customWidth="1"/>
    <col min="3889" max="3889" width="15" style="140" customWidth="1"/>
    <col min="3890" max="3890" width="21.28515625" style="140" customWidth="1"/>
    <col min="3891" max="3891" width="15.85546875" style="140" customWidth="1"/>
    <col min="3892" max="3892" width="18.28515625" style="140" customWidth="1"/>
    <col min="3893" max="3893" width="16.28515625" style="140" customWidth="1"/>
    <col min="3894" max="4098" width="11.42578125" style="140"/>
    <col min="4099" max="4110" width="2.7109375" style="140" customWidth="1"/>
    <col min="4111" max="4112" width="6.140625" style="140" customWidth="1"/>
    <col min="4113" max="4121" width="2.7109375" style="140" customWidth="1"/>
    <col min="4122" max="4122" width="14.7109375" style="140" customWidth="1"/>
    <col min="4123" max="4123" width="6.28515625" style="140" customWidth="1"/>
    <col min="4124" max="4134" width="2.7109375" style="140" customWidth="1"/>
    <col min="4135" max="4135" width="25.42578125" style="140" customWidth="1"/>
    <col min="4136" max="4136" width="17.85546875" style="140" customWidth="1"/>
    <col min="4137" max="4137" width="15.85546875" style="140" customWidth="1"/>
    <col min="4138" max="4138" width="14.7109375" style="140" customWidth="1"/>
    <col min="4139" max="4139" width="15.85546875" style="140" customWidth="1"/>
    <col min="4140" max="4140" width="15" style="140" customWidth="1"/>
    <col min="4141" max="4141" width="18.140625" style="140" customWidth="1"/>
    <col min="4142" max="4142" width="22.42578125" style="140" customWidth="1"/>
    <col min="4143" max="4143" width="23.7109375" style="140" customWidth="1"/>
    <col min="4144" max="4144" width="14" style="140" customWidth="1"/>
    <col min="4145" max="4145" width="15" style="140" customWidth="1"/>
    <col min="4146" max="4146" width="21.28515625" style="140" customWidth="1"/>
    <col min="4147" max="4147" width="15.85546875" style="140" customWidth="1"/>
    <col min="4148" max="4148" width="18.28515625" style="140" customWidth="1"/>
    <col min="4149" max="4149" width="16.28515625" style="140" customWidth="1"/>
    <col min="4150" max="4354" width="11.42578125" style="140"/>
    <col min="4355" max="4366" width="2.7109375" style="140" customWidth="1"/>
    <col min="4367" max="4368" width="6.140625" style="140" customWidth="1"/>
    <col min="4369" max="4377" width="2.7109375" style="140" customWidth="1"/>
    <col min="4378" max="4378" width="14.7109375" style="140" customWidth="1"/>
    <col min="4379" max="4379" width="6.28515625" style="140" customWidth="1"/>
    <col min="4380" max="4390" width="2.7109375" style="140" customWidth="1"/>
    <col min="4391" max="4391" width="25.42578125" style="140" customWidth="1"/>
    <col min="4392" max="4392" width="17.85546875" style="140" customWidth="1"/>
    <col min="4393" max="4393" width="15.85546875" style="140" customWidth="1"/>
    <col min="4394" max="4394" width="14.7109375" style="140" customWidth="1"/>
    <col min="4395" max="4395" width="15.85546875" style="140" customWidth="1"/>
    <col min="4396" max="4396" width="15" style="140" customWidth="1"/>
    <col min="4397" max="4397" width="18.140625" style="140" customWidth="1"/>
    <col min="4398" max="4398" width="22.42578125" style="140" customWidth="1"/>
    <col min="4399" max="4399" width="23.7109375" style="140" customWidth="1"/>
    <col min="4400" max="4400" width="14" style="140" customWidth="1"/>
    <col min="4401" max="4401" width="15" style="140" customWidth="1"/>
    <col min="4402" max="4402" width="21.28515625" style="140" customWidth="1"/>
    <col min="4403" max="4403" width="15.85546875" style="140" customWidth="1"/>
    <col min="4404" max="4404" width="18.28515625" style="140" customWidth="1"/>
    <col min="4405" max="4405" width="16.28515625" style="140" customWidth="1"/>
    <col min="4406" max="4610" width="11.42578125" style="140"/>
    <col min="4611" max="4622" width="2.7109375" style="140" customWidth="1"/>
    <col min="4623" max="4624" width="6.140625" style="140" customWidth="1"/>
    <col min="4625" max="4633" width="2.7109375" style="140" customWidth="1"/>
    <col min="4634" max="4634" width="14.7109375" style="140" customWidth="1"/>
    <col min="4635" max="4635" width="6.28515625" style="140" customWidth="1"/>
    <col min="4636" max="4646" width="2.7109375" style="140" customWidth="1"/>
    <col min="4647" max="4647" width="25.42578125" style="140" customWidth="1"/>
    <col min="4648" max="4648" width="17.85546875" style="140" customWidth="1"/>
    <col min="4649" max="4649" width="15.85546875" style="140" customWidth="1"/>
    <col min="4650" max="4650" width="14.7109375" style="140" customWidth="1"/>
    <col min="4651" max="4651" width="15.85546875" style="140" customWidth="1"/>
    <col min="4652" max="4652" width="15" style="140" customWidth="1"/>
    <col min="4653" max="4653" width="18.140625" style="140" customWidth="1"/>
    <col min="4654" max="4654" width="22.42578125" style="140" customWidth="1"/>
    <col min="4655" max="4655" width="23.7109375" style="140" customWidth="1"/>
    <col min="4656" max="4656" width="14" style="140" customWidth="1"/>
    <col min="4657" max="4657" width="15" style="140" customWidth="1"/>
    <col min="4658" max="4658" width="21.28515625" style="140" customWidth="1"/>
    <col min="4659" max="4659" width="15.85546875" style="140" customWidth="1"/>
    <col min="4660" max="4660" width="18.28515625" style="140" customWidth="1"/>
    <col min="4661" max="4661" width="16.28515625" style="140" customWidth="1"/>
    <col min="4662" max="4866" width="11.42578125" style="140"/>
    <col min="4867" max="4878" width="2.7109375" style="140" customWidth="1"/>
    <col min="4879" max="4880" width="6.140625" style="140" customWidth="1"/>
    <col min="4881" max="4889" width="2.7109375" style="140" customWidth="1"/>
    <col min="4890" max="4890" width="14.7109375" style="140" customWidth="1"/>
    <col min="4891" max="4891" width="6.28515625" style="140" customWidth="1"/>
    <col min="4892" max="4902" width="2.7109375" style="140" customWidth="1"/>
    <col min="4903" max="4903" width="25.42578125" style="140" customWidth="1"/>
    <col min="4904" max="4904" width="17.85546875" style="140" customWidth="1"/>
    <col min="4905" max="4905" width="15.85546875" style="140" customWidth="1"/>
    <col min="4906" max="4906" width="14.7109375" style="140" customWidth="1"/>
    <col min="4907" max="4907" width="15.85546875" style="140" customWidth="1"/>
    <col min="4908" max="4908" width="15" style="140" customWidth="1"/>
    <col min="4909" max="4909" width="18.140625" style="140" customWidth="1"/>
    <col min="4910" max="4910" width="22.42578125" style="140" customWidth="1"/>
    <col min="4911" max="4911" width="23.7109375" style="140" customWidth="1"/>
    <col min="4912" max="4912" width="14" style="140" customWidth="1"/>
    <col min="4913" max="4913" width="15" style="140" customWidth="1"/>
    <col min="4914" max="4914" width="21.28515625" style="140" customWidth="1"/>
    <col min="4915" max="4915" width="15.85546875" style="140" customWidth="1"/>
    <col min="4916" max="4916" width="18.28515625" style="140" customWidth="1"/>
    <col min="4917" max="4917" width="16.28515625" style="140" customWidth="1"/>
    <col min="4918" max="5122" width="11.42578125" style="140"/>
    <col min="5123" max="5134" width="2.7109375" style="140" customWidth="1"/>
    <col min="5135" max="5136" width="6.140625" style="140" customWidth="1"/>
    <col min="5137" max="5145" width="2.7109375" style="140" customWidth="1"/>
    <col min="5146" max="5146" width="14.7109375" style="140" customWidth="1"/>
    <col min="5147" max="5147" width="6.28515625" style="140" customWidth="1"/>
    <col min="5148" max="5158" width="2.7109375" style="140" customWidth="1"/>
    <col min="5159" max="5159" width="25.42578125" style="140" customWidth="1"/>
    <col min="5160" max="5160" width="17.85546875" style="140" customWidth="1"/>
    <col min="5161" max="5161" width="15.85546875" style="140" customWidth="1"/>
    <col min="5162" max="5162" width="14.7109375" style="140" customWidth="1"/>
    <col min="5163" max="5163" width="15.85546875" style="140" customWidth="1"/>
    <col min="5164" max="5164" width="15" style="140" customWidth="1"/>
    <col min="5165" max="5165" width="18.140625" style="140" customWidth="1"/>
    <col min="5166" max="5166" width="22.42578125" style="140" customWidth="1"/>
    <col min="5167" max="5167" width="23.7109375" style="140" customWidth="1"/>
    <col min="5168" max="5168" width="14" style="140" customWidth="1"/>
    <col min="5169" max="5169" width="15" style="140" customWidth="1"/>
    <col min="5170" max="5170" width="21.28515625" style="140" customWidth="1"/>
    <col min="5171" max="5171" width="15.85546875" style="140" customWidth="1"/>
    <col min="5172" max="5172" width="18.28515625" style="140" customWidth="1"/>
    <col min="5173" max="5173" width="16.28515625" style="140" customWidth="1"/>
    <col min="5174" max="5378" width="11.42578125" style="140"/>
    <col min="5379" max="5390" width="2.7109375" style="140" customWidth="1"/>
    <col min="5391" max="5392" width="6.140625" style="140" customWidth="1"/>
    <col min="5393" max="5401" width="2.7109375" style="140" customWidth="1"/>
    <col min="5402" max="5402" width="14.7109375" style="140" customWidth="1"/>
    <col min="5403" max="5403" width="6.28515625" style="140" customWidth="1"/>
    <col min="5404" max="5414" width="2.7109375" style="140" customWidth="1"/>
    <col min="5415" max="5415" width="25.42578125" style="140" customWidth="1"/>
    <col min="5416" max="5416" width="17.85546875" style="140" customWidth="1"/>
    <col min="5417" max="5417" width="15.85546875" style="140" customWidth="1"/>
    <col min="5418" max="5418" width="14.7109375" style="140" customWidth="1"/>
    <col min="5419" max="5419" width="15.85546875" style="140" customWidth="1"/>
    <col min="5420" max="5420" width="15" style="140" customWidth="1"/>
    <col min="5421" max="5421" width="18.140625" style="140" customWidth="1"/>
    <col min="5422" max="5422" width="22.42578125" style="140" customWidth="1"/>
    <col min="5423" max="5423" width="23.7109375" style="140" customWidth="1"/>
    <col min="5424" max="5424" width="14" style="140" customWidth="1"/>
    <col min="5425" max="5425" width="15" style="140" customWidth="1"/>
    <col min="5426" max="5426" width="21.28515625" style="140" customWidth="1"/>
    <col min="5427" max="5427" width="15.85546875" style="140" customWidth="1"/>
    <col min="5428" max="5428" width="18.28515625" style="140" customWidth="1"/>
    <col min="5429" max="5429" width="16.28515625" style="140" customWidth="1"/>
    <col min="5430" max="5634" width="11.42578125" style="140"/>
    <col min="5635" max="5646" width="2.7109375" style="140" customWidth="1"/>
    <col min="5647" max="5648" width="6.140625" style="140" customWidth="1"/>
    <col min="5649" max="5657" width="2.7109375" style="140" customWidth="1"/>
    <col min="5658" max="5658" width="14.7109375" style="140" customWidth="1"/>
    <col min="5659" max="5659" width="6.28515625" style="140" customWidth="1"/>
    <col min="5660" max="5670" width="2.7109375" style="140" customWidth="1"/>
    <col min="5671" max="5671" width="25.42578125" style="140" customWidth="1"/>
    <col min="5672" max="5672" width="17.85546875" style="140" customWidth="1"/>
    <col min="5673" max="5673" width="15.85546875" style="140" customWidth="1"/>
    <col min="5674" max="5674" width="14.7109375" style="140" customWidth="1"/>
    <col min="5675" max="5675" width="15.85546875" style="140" customWidth="1"/>
    <col min="5676" max="5676" width="15" style="140" customWidth="1"/>
    <col min="5677" max="5677" width="18.140625" style="140" customWidth="1"/>
    <col min="5678" max="5678" width="22.42578125" style="140" customWidth="1"/>
    <col min="5679" max="5679" width="23.7109375" style="140" customWidth="1"/>
    <col min="5680" max="5680" width="14" style="140" customWidth="1"/>
    <col min="5681" max="5681" width="15" style="140" customWidth="1"/>
    <col min="5682" max="5682" width="21.28515625" style="140" customWidth="1"/>
    <col min="5683" max="5683" width="15.85546875" style="140" customWidth="1"/>
    <col min="5684" max="5684" width="18.28515625" style="140" customWidth="1"/>
    <col min="5685" max="5685" width="16.28515625" style="140" customWidth="1"/>
    <col min="5686" max="5890" width="11.42578125" style="140"/>
    <col min="5891" max="5902" width="2.7109375" style="140" customWidth="1"/>
    <col min="5903" max="5904" width="6.140625" style="140" customWidth="1"/>
    <col min="5905" max="5913" width="2.7109375" style="140" customWidth="1"/>
    <col min="5914" max="5914" width="14.7109375" style="140" customWidth="1"/>
    <col min="5915" max="5915" width="6.28515625" style="140" customWidth="1"/>
    <col min="5916" max="5926" width="2.7109375" style="140" customWidth="1"/>
    <col min="5927" max="5927" width="25.42578125" style="140" customWidth="1"/>
    <col min="5928" max="5928" width="17.85546875" style="140" customWidth="1"/>
    <col min="5929" max="5929" width="15.85546875" style="140" customWidth="1"/>
    <col min="5930" max="5930" width="14.7109375" style="140" customWidth="1"/>
    <col min="5931" max="5931" width="15.85546875" style="140" customWidth="1"/>
    <col min="5932" max="5932" width="15" style="140" customWidth="1"/>
    <col min="5933" max="5933" width="18.140625" style="140" customWidth="1"/>
    <col min="5934" max="5934" width="22.42578125" style="140" customWidth="1"/>
    <col min="5935" max="5935" width="23.7109375" style="140" customWidth="1"/>
    <col min="5936" max="5936" width="14" style="140" customWidth="1"/>
    <col min="5937" max="5937" width="15" style="140" customWidth="1"/>
    <col min="5938" max="5938" width="21.28515625" style="140" customWidth="1"/>
    <col min="5939" max="5939" width="15.85546875" style="140" customWidth="1"/>
    <col min="5940" max="5940" width="18.28515625" style="140" customWidth="1"/>
    <col min="5941" max="5941" width="16.28515625" style="140" customWidth="1"/>
    <col min="5942" max="6146" width="11.42578125" style="140"/>
    <col min="6147" max="6158" width="2.7109375" style="140" customWidth="1"/>
    <col min="6159" max="6160" width="6.140625" style="140" customWidth="1"/>
    <col min="6161" max="6169" width="2.7109375" style="140" customWidth="1"/>
    <col min="6170" max="6170" width="14.7109375" style="140" customWidth="1"/>
    <col min="6171" max="6171" width="6.28515625" style="140" customWidth="1"/>
    <col min="6172" max="6182" width="2.7109375" style="140" customWidth="1"/>
    <col min="6183" max="6183" width="25.42578125" style="140" customWidth="1"/>
    <col min="6184" max="6184" width="17.85546875" style="140" customWidth="1"/>
    <col min="6185" max="6185" width="15.85546875" style="140" customWidth="1"/>
    <col min="6186" max="6186" width="14.7109375" style="140" customWidth="1"/>
    <col min="6187" max="6187" width="15.85546875" style="140" customWidth="1"/>
    <col min="6188" max="6188" width="15" style="140" customWidth="1"/>
    <col min="6189" max="6189" width="18.140625" style="140" customWidth="1"/>
    <col min="6190" max="6190" width="22.42578125" style="140" customWidth="1"/>
    <col min="6191" max="6191" width="23.7109375" style="140" customWidth="1"/>
    <col min="6192" max="6192" width="14" style="140" customWidth="1"/>
    <col min="6193" max="6193" width="15" style="140" customWidth="1"/>
    <col min="6194" max="6194" width="21.28515625" style="140" customWidth="1"/>
    <col min="6195" max="6195" width="15.85546875" style="140" customWidth="1"/>
    <col min="6196" max="6196" width="18.28515625" style="140" customWidth="1"/>
    <col min="6197" max="6197" width="16.28515625" style="140" customWidth="1"/>
    <col min="6198" max="6402" width="11.42578125" style="140"/>
    <col min="6403" max="6414" width="2.7109375" style="140" customWidth="1"/>
    <col min="6415" max="6416" width="6.140625" style="140" customWidth="1"/>
    <col min="6417" max="6425" width="2.7109375" style="140" customWidth="1"/>
    <col min="6426" max="6426" width="14.7109375" style="140" customWidth="1"/>
    <col min="6427" max="6427" width="6.28515625" style="140" customWidth="1"/>
    <col min="6428" max="6438" width="2.7109375" style="140" customWidth="1"/>
    <col min="6439" max="6439" width="25.42578125" style="140" customWidth="1"/>
    <col min="6440" max="6440" width="17.85546875" style="140" customWidth="1"/>
    <col min="6441" max="6441" width="15.85546875" style="140" customWidth="1"/>
    <col min="6442" max="6442" width="14.7109375" style="140" customWidth="1"/>
    <col min="6443" max="6443" width="15.85546875" style="140" customWidth="1"/>
    <col min="6444" max="6444" width="15" style="140" customWidth="1"/>
    <col min="6445" max="6445" width="18.140625" style="140" customWidth="1"/>
    <col min="6446" max="6446" width="22.42578125" style="140" customWidth="1"/>
    <col min="6447" max="6447" width="23.7109375" style="140" customWidth="1"/>
    <col min="6448" max="6448" width="14" style="140" customWidth="1"/>
    <col min="6449" max="6449" width="15" style="140" customWidth="1"/>
    <col min="6450" max="6450" width="21.28515625" style="140" customWidth="1"/>
    <col min="6451" max="6451" width="15.85546875" style="140" customWidth="1"/>
    <col min="6452" max="6452" width="18.28515625" style="140" customWidth="1"/>
    <col min="6453" max="6453" width="16.28515625" style="140" customWidth="1"/>
    <col min="6454" max="6658" width="11.42578125" style="140"/>
    <col min="6659" max="6670" width="2.7109375" style="140" customWidth="1"/>
    <col min="6671" max="6672" width="6.140625" style="140" customWidth="1"/>
    <col min="6673" max="6681" width="2.7109375" style="140" customWidth="1"/>
    <col min="6682" max="6682" width="14.7109375" style="140" customWidth="1"/>
    <col min="6683" max="6683" width="6.28515625" style="140" customWidth="1"/>
    <col min="6684" max="6694" width="2.7109375" style="140" customWidth="1"/>
    <col min="6695" max="6695" width="25.42578125" style="140" customWidth="1"/>
    <col min="6696" max="6696" width="17.85546875" style="140" customWidth="1"/>
    <col min="6697" max="6697" width="15.85546875" style="140" customWidth="1"/>
    <col min="6698" max="6698" width="14.7109375" style="140" customWidth="1"/>
    <col min="6699" max="6699" width="15.85546875" style="140" customWidth="1"/>
    <col min="6700" max="6700" width="15" style="140" customWidth="1"/>
    <col min="6701" max="6701" width="18.140625" style="140" customWidth="1"/>
    <col min="6702" max="6702" width="22.42578125" style="140" customWidth="1"/>
    <col min="6703" max="6703" width="23.7109375" style="140" customWidth="1"/>
    <col min="6704" max="6704" width="14" style="140" customWidth="1"/>
    <col min="6705" max="6705" width="15" style="140" customWidth="1"/>
    <col min="6706" max="6706" width="21.28515625" style="140" customWidth="1"/>
    <col min="6707" max="6707" width="15.85546875" style="140" customWidth="1"/>
    <col min="6708" max="6708" width="18.28515625" style="140" customWidth="1"/>
    <col min="6709" max="6709" width="16.28515625" style="140" customWidth="1"/>
    <col min="6710" max="6914" width="11.42578125" style="140"/>
    <col min="6915" max="6926" width="2.7109375" style="140" customWidth="1"/>
    <col min="6927" max="6928" width="6.140625" style="140" customWidth="1"/>
    <col min="6929" max="6937" width="2.7109375" style="140" customWidth="1"/>
    <col min="6938" max="6938" width="14.7109375" style="140" customWidth="1"/>
    <col min="6939" max="6939" width="6.28515625" style="140" customWidth="1"/>
    <col min="6940" max="6950" width="2.7109375" style="140" customWidth="1"/>
    <col min="6951" max="6951" width="25.42578125" style="140" customWidth="1"/>
    <col min="6952" max="6952" width="17.85546875" style="140" customWidth="1"/>
    <col min="6953" max="6953" width="15.85546875" style="140" customWidth="1"/>
    <col min="6954" max="6954" width="14.7109375" style="140" customWidth="1"/>
    <col min="6955" max="6955" width="15.85546875" style="140" customWidth="1"/>
    <col min="6956" max="6956" width="15" style="140" customWidth="1"/>
    <col min="6957" max="6957" width="18.140625" style="140" customWidth="1"/>
    <col min="6958" max="6958" width="22.42578125" style="140" customWidth="1"/>
    <col min="6959" max="6959" width="23.7109375" style="140" customWidth="1"/>
    <col min="6960" max="6960" width="14" style="140" customWidth="1"/>
    <col min="6961" max="6961" width="15" style="140" customWidth="1"/>
    <col min="6962" max="6962" width="21.28515625" style="140" customWidth="1"/>
    <col min="6963" max="6963" width="15.85546875" style="140" customWidth="1"/>
    <col min="6964" max="6964" width="18.28515625" style="140" customWidth="1"/>
    <col min="6965" max="6965" width="16.28515625" style="140" customWidth="1"/>
    <col min="6966" max="7170" width="11.42578125" style="140"/>
    <col min="7171" max="7182" width="2.7109375" style="140" customWidth="1"/>
    <col min="7183" max="7184" width="6.140625" style="140" customWidth="1"/>
    <col min="7185" max="7193" width="2.7109375" style="140" customWidth="1"/>
    <col min="7194" max="7194" width="14.7109375" style="140" customWidth="1"/>
    <col min="7195" max="7195" width="6.28515625" style="140" customWidth="1"/>
    <col min="7196" max="7206" width="2.7109375" style="140" customWidth="1"/>
    <col min="7207" max="7207" width="25.42578125" style="140" customWidth="1"/>
    <col min="7208" max="7208" width="17.85546875" style="140" customWidth="1"/>
    <col min="7209" max="7209" width="15.85546875" style="140" customWidth="1"/>
    <col min="7210" max="7210" width="14.7109375" style="140" customWidth="1"/>
    <col min="7211" max="7211" width="15.85546875" style="140" customWidth="1"/>
    <col min="7212" max="7212" width="15" style="140" customWidth="1"/>
    <col min="7213" max="7213" width="18.140625" style="140" customWidth="1"/>
    <col min="7214" max="7214" width="22.42578125" style="140" customWidth="1"/>
    <col min="7215" max="7215" width="23.7109375" style="140" customWidth="1"/>
    <col min="7216" max="7216" width="14" style="140" customWidth="1"/>
    <col min="7217" max="7217" width="15" style="140" customWidth="1"/>
    <col min="7218" max="7218" width="21.28515625" style="140" customWidth="1"/>
    <col min="7219" max="7219" width="15.85546875" style="140" customWidth="1"/>
    <col min="7220" max="7220" width="18.28515625" style="140" customWidth="1"/>
    <col min="7221" max="7221" width="16.28515625" style="140" customWidth="1"/>
    <col min="7222" max="7426" width="11.42578125" style="140"/>
    <col min="7427" max="7438" width="2.7109375" style="140" customWidth="1"/>
    <col min="7439" max="7440" width="6.140625" style="140" customWidth="1"/>
    <col min="7441" max="7449" width="2.7109375" style="140" customWidth="1"/>
    <col min="7450" max="7450" width="14.7109375" style="140" customWidth="1"/>
    <col min="7451" max="7451" width="6.28515625" style="140" customWidth="1"/>
    <col min="7452" max="7462" width="2.7109375" style="140" customWidth="1"/>
    <col min="7463" max="7463" width="25.42578125" style="140" customWidth="1"/>
    <col min="7464" max="7464" width="17.85546875" style="140" customWidth="1"/>
    <col min="7465" max="7465" width="15.85546875" style="140" customWidth="1"/>
    <col min="7466" max="7466" width="14.7109375" style="140" customWidth="1"/>
    <col min="7467" max="7467" width="15.85546875" style="140" customWidth="1"/>
    <col min="7468" max="7468" width="15" style="140" customWidth="1"/>
    <col min="7469" max="7469" width="18.140625" style="140" customWidth="1"/>
    <col min="7470" max="7470" width="22.42578125" style="140" customWidth="1"/>
    <col min="7471" max="7471" width="23.7109375" style="140" customWidth="1"/>
    <col min="7472" max="7472" width="14" style="140" customWidth="1"/>
    <col min="7473" max="7473" width="15" style="140" customWidth="1"/>
    <col min="7474" max="7474" width="21.28515625" style="140" customWidth="1"/>
    <col min="7475" max="7475" width="15.85546875" style="140" customWidth="1"/>
    <col min="7476" max="7476" width="18.28515625" style="140" customWidth="1"/>
    <col min="7477" max="7477" width="16.28515625" style="140" customWidth="1"/>
    <col min="7478" max="7682" width="11.42578125" style="140"/>
    <col min="7683" max="7694" width="2.7109375" style="140" customWidth="1"/>
    <col min="7695" max="7696" width="6.140625" style="140" customWidth="1"/>
    <col min="7697" max="7705" width="2.7109375" style="140" customWidth="1"/>
    <col min="7706" max="7706" width="14.7109375" style="140" customWidth="1"/>
    <col min="7707" max="7707" width="6.28515625" style="140" customWidth="1"/>
    <col min="7708" max="7718" width="2.7109375" style="140" customWidth="1"/>
    <col min="7719" max="7719" width="25.42578125" style="140" customWidth="1"/>
    <col min="7720" max="7720" width="17.85546875" style="140" customWidth="1"/>
    <col min="7721" max="7721" width="15.85546875" style="140" customWidth="1"/>
    <col min="7722" max="7722" width="14.7109375" style="140" customWidth="1"/>
    <col min="7723" max="7723" width="15.85546875" style="140" customWidth="1"/>
    <col min="7724" max="7724" width="15" style="140" customWidth="1"/>
    <col min="7725" max="7725" width="18.140625" style="140" customWidth="1"/>
    <col min="7726" max="7726" width="22.42578125" style="140" customWidth="1"/>
    <col min="7727" max="7727" width="23.7109375" style="140" customWidth="1"/>
    <col min="7728" max="7728" width="14" style="140" customWidth="1"/>
    <col min="7729" max="7729" width="15" style="140" customWidth="1"/>
    <col min="7730" max="7730" width="21.28515625" style="140" customWidth="1"/>
    <col min="7731" max="7731" width="15.85546875" style="140" customWidth="1"/>
    <col min="7732" max="7732" width="18.28515625" style="140" customWidth="1"/>
    <col min="7733" max="7733" width="16.28515625" style="140" customWidth="1"/>
    <col min="7734" max="7938" width="11.42578125" style="140"/>
    <col min="7939" max="7950" width="2.7109375" style="140" customWidth="1"/>
    <col min="7951" max="7952" width="6.140625" style="140" customWidth="1"/>
    <col min="7953" max="7961" width="2.7109375" style="140" customWidth="1"/>
    <col min="7962" max="7962" width="14.7109375" style="140" customWidth="1"/>
    <col min="7963" max="7963" width="6.28515625" style="140" customWidth="1"/>
    <col min="7964" max="7974" width="2.7109375" style="140" customWidth="1"/>
    <col min="7975" max="7975" width="25.42578125" style="140" customWidth="1"/>
    <col min="7976" max="7976" width="17.85546875" style="140" customWidth="1"/>
    <col min="7977" max="7977" width="15.85546875" style="140" customWidth="1"/>
    <col min="7978" max="7978" width="14.7109375" style="140" customWidth="1"/>
    <col min="7979" max="7979" width="15.85546875" style="140" customWidth="1"/>
    <col min="7980" max="7980" width="15" style="140" customWidth="1"/>
    <col min="7981" max="7981" width="18.140625" style="140" customWidth="1"/>
    <col min="7982" max="7982" width="22.42578125" style="140" customWidth="1"/>
    <col min="7983" max="7983" width="23.7109375" style="140" customWidth="1"/>
    <col min="7984" max="7984" width="14" style="140" customWidth="1"/>
    <col min="7985" max="7985" width="15" style="140" customWidth="1"/>
    <col min="7986" max="7986" width="21.28515625" style="140" customWidth="1"/>
    <col min="7987" max="7987" width="15.85546875" style="140" customWidth="1"/>
    <col min="7988" max="7988" width="18.28515625" style="140" customWidth="1"/>
    <col min="7989" max="7989" width="16.28515625" style="140" customWidth="1"/>
    <col min="7990" max="8194" width="11.42578125" style="140"/>
    <col min="8195" max="8206" width="2.7109375" style="140" customWidth="1"/>
    <col min="8207" max="8208" width="6.140625" style="140" customWidth="1"/>
    <col min="8209" max="8217" width="2.7109375" style="140" customWidth="1"/>
    <col min="8218" max="8218" width="14.7109375" style="140" customWidth="1"/>
    <col min="8219" max="8219" width="6.28515625" style="140" customWidth="1"/>
    <col min="8220" max="8230" width="2.7109375" style="140" customWidth="1"/>
    <col min="8231" max="8231" width="25.42578125" style="140" customWidth="1"/>
    <col min="8232" max="8232" width="17.85546875" style="140" customWidth="1"/>
    <col min="8233" max="8233" width="15.85546875" style="140" customWidth="1"/>
    <col min="8234" max="8234" width="14.7109375" style="140" customWidth="1"/>
    <col min="8235" max="8235" width="15.85546875" style="140" customWidth="1"/>
    <col min="8236" max="8236" width="15" style="140" customWidth="1"/>
    <col min="8237" max="8237" width="18.140625" style="140" customWidth="1"/>
    <col min="8238" max="8238" width="22.42578125" style="140" customWidth="1"/>
    <col min="8239" max="8239" width="23.7109375" style="140" customWidth="1"/>
    <col min="8240" max="8240" width="14" style="140" customWidth="1"/>
    <col min="8241" max="8241" width="15" style="140" customWidth="1"/>
    <col min="8242" max="8242" width="21.28515625" style="140" customWidth="1"/>
    <col min="8243" max="8243" width="15.85546875" style="140" customWidth="1"/>
    <col min="8244" max="8244" width="18.28515625" style="140" customWidth="1"/>
    <col min="8245" max="8245" width="16.28515625" style="140" customWidth="1"/>
    <col min="8246" max="8450" width="11.42578125" style="140"/>
    <col min="8451" max="8462" width="2.7109375" style="140" customWidth="1"/>
    <col min="8463" max="8464" width="6.140625" style="140" customWidth="1"/>
    <col min="8465" max="8473" width="2.7109375" style="140" customWidth="1"/>
    <col min="8474" max="8474" width="14.7109375" style="140" customWidth="1"/>
    <col min="8475" max="8475" width="6.28515625" style="140" customWidth="1"/>
    <col min="8476" max="8486" width="2.7109375" style="140" customWidth="1"/>
    <col min="8487" max="8487" width="25.42578125" style="140" customWidth="1"/>
    <col min="8488" max="8488" width="17.85546875" style="140" customWidth="1"/>
    <col min="8489" max="8489" width="15.85546875" style="140" customWidth="1"/>
    <col min="8490" max="8490" width="14.7109375" style="140" customWidth="1"/>
    <col min="8491" max="8491" width="15.85546875" style="140" customWidth="1"/>
    <col min="8492" max="8492" width="15" style="140" customWidth="1"/>
    <col min="8493" max="8493" width="18.140625" style="140" customWidth="1"/>
    <col min="8494" max="8494" width="22.42578125" style="140" customWidth="1"/>
    <col min="8495" max="8495" width="23.7109375" style="140" customWidth="1"/>
    <col min="8496" max="8496" width="14" style="140" customWidth="1"/>
    <col min="8497" max="8497" width="15" style="140" customWidth="1"/>
    <col min="8498" max="8498" width="21.28515625" style="140" customWidth="1"/>
    <col min="8499" max="8499" width="15.85546875" style="140" customWidth="1"/>
    <col min="8500" max="8500" width="18.28515625" style="140" customWidth="1"/>
    <col min="8501" max="8501" width="16.28515625" style="140" customWidth="1"/>
    <col min="8502" max="8706" width="11.42578125" style="140"/>
    <col min="8707" max="8718" width="2.7109375" style="140" customWidth="1"/>
    <col min="8719" max="8720" width="6.140625" style="140" customWidth="1"/>
    <col min="8721" max="8729" width="2.7109375" style="140" customWidth="1"/>
    <col min="8730" max="8730" width="14.7109375" style="140" customWidth="1"/>
    <col min="8731" max="8731" width="6.28515625" style="140" customWidth="1"/>
    <col min="8732" max="8742" width="2.7109375" style="140" customWidth="1"/>
    <col min="8743" max="8743" width="25.42578125" style="140" customWidth="1"/>
    <col min="8744" max="8744" width="17.85546875" style="140" customWidth="1"/>
    <col min="8745" max="8745" width="15.85546875" style="140" customWidth="1"/>
    <col min="8746" max="8746" width="14.7109375" style="140" customWidth="1"/>
    <col min="8747" max="8747" width="15.85546875" style="140" customWidth="1"/>
    <col min="8748" max="8748" width="15" style="140" customWidth="1"/>
    <col min="8749" max="8749" width="18.140625" style="140" customWidth="1"/>
    <col min="8750" max="8750" width="22.42578125" style="140" customWidth="1"/>
    <col min="8751" max="8751" width="23.7109375" style="140" customWidth="1"/>
    <col min="8752" max="8752" width="14" style="140" customWidth="1"/>
    <col min="8753" max="8753" width="15" style="140" customWidth="1"/>
    <col min="8754" max="8754" width="21.28515625" style="140" customWidth="1"/>
    <col min="8755" max="8755" width="15.85546875" style="140" customWidth="1"/>
    <col min="8756" max="8756" width="18.28515625" style="140" customWidth="1"/>
    <col min="8757" max="8757" width="16.28515625" style="140" customWidth="1"/>
    <col min="8758" max="8962" width="11.42578125" style="140"/>
    <col min="8963" max="8974" width="2.7109375" style="140" customWidth="1"/>
    <col min="8975" max="8976" width="6.140625" style="140" customWidth="1"/>
    <col min="8977" max="8985" width="2.7109375" style="140" customWidth="1"/>
    <col min="8986" max="8986" width="14.7109375" style="140" customWidth="1"/>
    <col min="8987" max="8987" width="6.28515625" style="140" customWidth="1"/>
    <col min="8988" max="8998" width="2.7109375" style="140" customWidth="1"/>
    <col min="8999" max="8999" width="25.42578125" style="140" customWidth="1"/>
    <col min="9000" max="9000" width="17.85546875" style="140" customWidth="1"/>
    <col min="9001" max="9001" width="15.85546875" style="140" customWidth="1"/>
    <col min="9002" max="9002" width="14.7109375" style="140" customWidth="1"/>
    <col min="9003" max="9003" width="15.85546875" style="140" customWidth="1"/>
    <col min="9004" max="9004" width="15" style="140" customWidth="1"/>
    <col min="9005" max="9005" width="18.140625" style="140" customWidth="1"/>
    <col min="9006" max="9006" width="22.42578125" style="140" customWidth="1"/>
    <col min="9007" max="9007" width="23.7109375" style="140" customWidth="1"/>
    <col min="9008" max="9008" width="14" style="140" customWidth="1"/>
    <col min="9009" max="9009" width="15" style="140" customWidth="1"/>
    <col min="9010" max="9010" width="21.28515625" style="140" customWidth="1"/>
    <col min="9011" max="9011" width="15.85546875" style="140" customWidth="1"/>
    <col min="9012" max="9012" width="18.28515625" style="140" customWidth="1"/>
    <col min="9013" max="9013" width="16.28515625" style="140" customWidth="1"/>
    <col min="9014" max="9218" width="11.42578125" style="140"/>
    <col min="9219" max="9230" width="2.7109375" style="140" customWidth="1"/>
    <col min="9231" max="9232" width="6.140625" style="140" customWidth="1"/>
    <col min="9233" max="9241" width="2.7109375" style="140" customWidth="1"/>
    <col min="9242" max="9242" width="14.7109375" style="140" customWidth="1"/>
    <col min="9243" max="9243" width="6.28515625" style="140" customWidth="1"/>
    <col min="9244" max="9254" width="2.7109375" style="140" customWidth="1"/>
    <col min="9255" max="9255" width="25.42578125" style="140" customWidth="1"/>
    <col min="9256" max="9256" width="17.85546875" style="140" customWidth="1"/>
    <col min="9257" max="9257" width="15.85546875" style="140" customWidth="1"/>
    <col min="9258" max="9258" width="14.7109375" style="140" customWidth="1"/>
    <col min="9259" max="9259" width="15.85546875" style="140" customWidth="1"/>
    <col min="9260" max="9260" width="15" style="140" customWidth="1"/>
    <col min="9261" max="9261" width="18.140625" style="140" customWidth="1"/>
    <col min="9262" max="9262" width="22.42578125" style="140" customWidth="1"/>
    <col min="9263" max="9263" width="23.7109375" style="140" customWidth="1"/>
    <col min="9264" max="9264" width="14" style="140" customWidth="1"/>
    <col min="9265" max="9265" width="15" style="140" customWidth="1"/>
    <col min="9266" max="9266" width="21.28515625" style="140" customWidth="1"/>
    <col min="9267" max="9267" width="15.85546875" style="140" customWidth="1"/>
    <col min="9268" max="9268" width="18.28515625" style="140" customWidth="1"/>
    <col min="9269" max="9269" width="16.28515625" style="140" customWidth="1"/>
    <col min="9270" max="9474" width="11.42578125" style="140"/>
    <col min="9475" max="9486" width="2.7109375" style="140" customWidth="1"/>
    <col min="9487" max="9488" width="6.140625" style="140" customWidth="1"/>
    <col min="9489" max="9497" width="2.7109375" style="140" customWidth="1"/>
    <col min="9498" max="9498" width="14.7109375" style="140" customWidth="1"/>
    <col min="9499" max="9499" width="6.28515625" style="140" customWidth="1"/>
    <col min="9500" max="9510" width="2.7109375" style="140" customWidth="1"/>
    <col min="9511" max="9511" width="25.42578125" style="140" customWidth="1"/>
    <col min="9512" max="9512" width="17.85546875" style="140" customWidth="1"/>
    <col min="9513" max="9513" width="15.85546875" style="140" customWidth="1"/>
    <col min="9514" max="9514" width="14.7109375" style="140" customWidth="1"/>
    <col min="9515" max="9515" width="15.85546875" style="140" customWidth="1"/>
    <col min="9516" max="9516" width="15" style="140" customWidth="1"/>
    <col min="9517" max="9517" width="18.140625" style="140" customWidth="1"/>
    <col min="9518" max="9518" width="22.42578125" style="140" customWidth="1"/>
    <col min="9519" max="9519" width="23.7109375" style="140" customWidth="1"/>
    <col min="9520" max="9520" width="14" style="140" customWidth="1"/>
    <col min="9521" max="9521" width="15" style="140" customWidth="1"/>
    <col min="9522" max="9522" width="21.28515625" style="140" customWidth="1"/>
    <col min="9523" max="9523" width="15.85546875" style="140" customWidth="1"/>
    <col min="9524" max="9524" width="18.28515625" style="140" customWidth="1"/>
    <col min="9525" max="9525" width="16.28515625" style="140" customWidth="1"/>
    <col min="9526" max="9730" width="11.42578125" style="140"/>
    <col min="9731" max="9742" width="2.7109375" style="140" customWidth="1"/>
    <col min="9743" max="9744" width="6.140625" style="140" customWidth="1"/>
    <col min="9745" max="9753" width="2.7109375" style="140" customWidth="1"/>
    <col min="9754" max="9754" width="14.7109375" style="140" customWidth="1"/>
    <col min="9755" max="9755" width="6.28515625" style="140" customWidth="1"/>
    <col min="9756" max="9766" width="2.7109375" style="140" customWidth="1"/>
    <col min="9767" max="9767" width="25.42578125" style="140" customWidth="1"/>
    <col min="9768" max="9768" width="17.85546875" style="140" customWidth="1"/>
    <col min="9769" max="9769" width="15.85546875" style="140" customWidth="1"/>
    <col min="9770" max="9770" width="14.7109375" style="140" customWidth="1"/>
    <col min="9771" max="9771" width="15.85546875" style="140" customWidth="1"/>
    <col min="9772" max="9772" width="15" style="140" customWidth="1"/>
    <col min="9773" max="9773" width="18.140625" style="140" customWidth="1"/>
    <col min="9774" max="9774" width="22.42578125" style="140" customWidth="1"/>
    <col min="9775" max="9775" width="23.7109375" style="140" customWidth="1"/>
    <col min="9776" max="9776" width="14" style="140" customWidth="1"/>
    <col min="9777" max="9777" width="15" style="140" customWidth="1"/>
    <col min="9778" max="9778" width="21.28515625" style="140" customWidth="1"/>
    <col min="9779" max="9779" width="15.85546875" style="140" customWidth="1"/>
    <col min="9780" max="9780" width="18.28515625" style="140" customWidth="1"/>
    <col min="9781" max="9781" width="16.28515625" style="140" customWidth="1"/>
    <col min="9782" max="9986" width="11.42578125" style="140"/>
    <col min="9987" max="9998" width="2.7109375" style="140" customWidth="1"/>
    <col min="9999" max="10000" width="6.140625" style="140" customWidth="1"/>
    <col min="10001" max="10009" width="2.7109375" style="140" customWidth="1"/>
    <col min="10010" max="10010" width="14.7109375" style="140" customWidth="1"/>
    <col min="10011" max="10011" width="6.28515625" style="140" customWidth="1"/>
    <col min="10012" max="10022" width="2.7109375" style="140" customWidth="1"/>
    <col min="10023" max="10023" width="25.42578125" style="140" customWidth="1"/>
    <col min="10024" max="10024" width="17.85546875" style="140" customWidth="1"/>
    <col min="10025" max="10025" width="15.85546875" style="140" customWidth="1"/>
    <col min="10026" max="10026" width="14.7109375" style="140" customWidth="1"/>
    <col min="10027" max="10027" width="15.85546875" style="140" customWidth="1"/>
    <col min="10028" max="10028" width="15" style="140" customWidth="1"/>
    <col min="10029" max="10029" width="18.140625" style="140" customWidth="1"/>
    <col min="10030" max="10030" width="22.42578125" style="140" customWidth="1"/>
    <col min="10031" max="10031" width="23.7109375" style="140" customWidth="1"/>
    <col min="10032" max="10032" width="14" style="140" customWidth="1"/>
    <col min="10033" max="10033" width="15" style="140" customWidth="1"/>
    <col min="10034" max="10034" width="21.28515625" style="140" customWidth="1"/>
    <col min="10035" max="10035" width="15.85546875" style="140" customWidth="1"/>
    <col min="10036" max="10036" width="18.28515625" style="140" customWidth="1"/>
    <col min="10037" max="10037" width="16.28515625" style="140" customWidth="1"/>
    <col min="10038" max="10242" width="11.42578125" style="140"/>
    <col min="10243" max="10254" width="2.7109375" style="140" customWidth="1"/>
    <col min="10255" max="10256" width="6.140625" style="140" customWidth="1"/>
    <col min="10257" max="10265" width="2.7109375" style="140" customWidth="1"/>
    <col min="10266" max="10266" width="14.7109375" style="140" customWidth="1"/>
    <col min="10267" max="10267" width="6.28515625" style="140" customWidth="1"/>
    <col min="10268" max="10278" width="2.7109375" style="140" customWidth="1"/>
    <col min="10279" max="10279" width="25.42578125" style="140" customWidth="1"/>
    <col min="10280" max="10280" width="17.85546875" style="140" customWidth="1"/>
    <col min="10281" max="10281" width="15.85546875" style="140" customWidth="1"/>
    <col min="10282" max="10282" width="14.7109375" style="140" customWidth="1"/>
    <col min="10283" max="10283" width="15.85546875" style="140" customWidth="1"/>
    <col min="10284" max="10284" width="15" style="140" customWidth="1"/>
    <col min="10285" max="10285" width="18.140625" style="140" customWidth="1"/>
    <col min="10286" max="10286" width="22.42578125" style="140" customWidth="1"/>
    <col min="10287" max="10287" width="23.7109375" style="140" customWidth="1"/>
    <col min="10288" max="10288" width="14" style="140" customWidth="1"/>
    <col min="10289" max="10289" width="15" style="140" customWidth="1"/>
    <col min="10290" max="10290" width="21.28515625" style="140" customWidth="1"/>
    <col min="10291" max="10291" width="15.85546875" style="140" customWidth="1"/>
    <col min="10292" max="10292" width="18.28515625" style="140" customWidth="1"/>
    <col min="10293" max="10293" width="16.28515625" style="140" customWidth="1"/>
    <col min="10294" max="10498" width="11.42578125" style="140"/>
    <col min="10499" max="10510" width="2.7109375" style="140" customWidth="1"/>
    <col min="10511" max="10512" width="6.140625" style="140" customWidth="1"/>
    <col min="10513" max="10521" width="2.7109375" style="140" customWidth="1"/>
    <col min="10522" max="10522" width="14.7109375" style="140" customWidth="1"/>
    <col min="10523" max="10523" width="6.28515625" style="140" customWidth="1"/>
    <col min="10524" max="10534" width="2.7109375" style="140" customWidth="1"/>
    <col min="10535" max="10535" width="25.42578125" style="140" customWidth="1"/>
    <col min="10536" max="10536" width="17.85546875" style="140" customWidth="1"/>
    <col min="10537" max="10537" width="15.85546875" style="140" customWidth="1"/>
    <col min="10538" max="10538" width="14.7109375" style="140" customWidth="1"/>
    <col min="10539" max="10539" width="15.85546875" style="140" customWidth="1"/>
    <col min="10540" max="10540" width="15" style="140" customWidth="1"/>
    <col min="10541" max="10541" width="18.140625" style="140" customWidth="1"/>
    <col min="10542" max="10542" width="22.42578125" style="140" customWidth="1"/>
    <col min="10543" max="10543" width="23.7109375" style="140" customWidth="1"/>
    <col min="10544" max="10544" width="14" style="140" customWidth="1"/>
    <col min="10545" max="10545" width="15" style="140" customWidth="1"/>
    <col min="10546" max="10546" width="21.28515625" style="140" customWidth="1"/>
    <col min="10547" max="10547" width="15.85546875" style="140" customWidth="1"/>
    <col min="10548" max="10548" width="18.28515625" style="140" customWidth="1"/>
    <col min="10549" max="10549" width="16.28515625" style="140" customWidth="1"/>
    <col min="10550" max="10754" width="11.42578125" style="140"/>
    <col min="10755" max="10766" width="2.7109375" style="140" customWidth="1"/>
    <col min="10767" max="10768" width="6.140625" style="140" customWidth="1"/>
    <col min="10769" max="10777" width="2.7109375" style="140" customWidth="1"/>
    <col min="10778" max="10778" width="14.7109375" style="140" customWidth="1"/>
    <col min="10779" max="10779" width="6.28515625" style="140" customWidth="1"/>
    <col min="10780" max="10790" width="2.7109375" style="140" customWidth="1"/>
    <col min="10791" max="10791" width="25.42578125" style="140" customWidth="1"/>
    <col min="10792" max="10792" width="17.85546875" style="140" customWidth="1"/>
    <col min="10793" max="10793" width="15.85546875" style="140" customWidth="1"/>
    <col min="10794" max="10794" width="14.7109375" style="140" customWidth="1"/>
    <col min="10795" max="10795" width="15.85546875" style="140" customWidth="1"/>
    <col min="10796" max="10796" width="15" style="140" customWidth="1"/>
    <col min="10797" max="10797" width="18.140625" style="140" customWidth="1"/>
    <col min="10798" max="10798" width="22.42578125" style="140" customWidth="1"/>
    <col min="10799" max="10799" width="23.7109375" style="140" customWidth="1"/>
    <col min="10800" max="10800" width="14" style="140" customWidth="1"/>
    <col min="10801" max="10801" width="15" style="140" customWidth="1"/>
    <col min="10802" max="10802" width="21.28515625" style="140" customWidth="1"/>
    <col min="10803" max="10803" width="15.85546875" style="140" customWidth="1"/>
    <col min="10804" max="10804" width="18.28515625" style="140" customWidth="1"/>
    <col min="10805" max="10805" width="16.28515625" style="140" customWidth="1"/>
    <col min="10806" max="11010" width="11.42578125" style="140"/>
    <col min="11011" max="11022" width="2.7109375" style="140" customWidth="1"/>
    <col min="11023" max="11024" width="6.140625" style="140" customWidth="1"/>
    <col min="11025" max="11033" width="2.7109375" style="140" customWidth="1"/>
    <col min="11034" max="11034" width="14.7109375" style="140" customWidth="1"/>
    <col min="11035" max="11035" width="6.28515625" style="140" customWidth="1"/>
    <col min="11036" max="11046" width="2.7109375" style="140" customWidth="1"/>
    <col min="11047" max="11047" width="25.42578125" style="140" customWidth="1"/>
    <col min="11048" max="11048" width="17.85546875" style="140" customWidth="1"/>
    <col min="11049" max="11049" width="15.85546875" style="140" customWidth="1"/>
    <col min="11050" max="11050" width="14.7109375" style="140" customWidth="1"/>
    <col min="11051" max="11051" width="15.85546875" style="140" customWidth="1"/>
    <col min="11052" max="11052" width="15" style="140" customWidth="1"/>
    <col min="11053" max="11053" width="18.140625" style="140" customWidth="1"/>
    <col min="11054" max="11054" width="22.42578125" style="140" customWidth="1"/>
    <col min="11055" max="11055" width="23.7109375" style="140" customWidth="1"/>
    <col min="11056" max="11056" width="14" style="140" customWidth="1"/>
    <col min="11057" max="11057" width="15" style="140" customWidth="1"/>
    <col min="11058" max="11058" width="21.28515625" style="140" customWidth="1"/>
    <col min="11059" max="11059" width="15.85546875" style="140" customWidth="1"/>
    <col min="11060" max="11060" width="18.28515625" style="140" customWidth="1"/>
    <col min="11061" max="11061" width="16.28515625" style="140" customWidth="1"/>
    <col min="11062" max="11266" width="11.42578125" style="140"/>
    <col min="11267" max="11278" width="2.7109375" style="140" customWidth="1"/>
    <col min="11279" max="11280" width="6.140625" style="140" customWidth="1"/>
    <col min="11281" max="11289" width="2.7109375" style="140" customWidth="1"/>
    <col min="11290" max="11290" width="14.7109375" style="140" customWidth="1"/>
    <col min="11291" max="11291" width="6.28515625" style="140" customWidth="1"/>
    <col min="11292" max="11302" width="2.7109375" style="140" customWidth="1"/>
    <col min="11303" max="11303" width="25.42578125" style="140" customWidth="1"/>
    <col min="11304" max="11304" width="17.85546875" style="140" customWidth="1"/>
    <col min="11305" max="11305" width="15.85546875" style="140" customWidth="1"/>
    <col min="11306" max="11306" width="14.7109375" style="140" customWidth="1"/>
    <col min="11307" max="11307" width="15.85546875" style="140" customWidth="1"/>
    <col min="11308" max="11308" width="15" style="140" customWidth="1"/>
    <col min="11309" max="11309" width="18.140625" style="140" customWidth="1"/>
    <col min="11310" max="11310" width="22.42578125" style="140" customWidth="1"/>
    <col min="11311" max="11311" width="23.7109375" style="140" customWidth="1"/>
    <col min="11312" max="11312" width="14" style="140" customWidth="1"/>
    <col min="11313" max="11313" width="15" style="140" customWidth="1"/>
    <col min="11314" max="11314" width="21.28515625" style="140" customWidth="1"/>
    <col min="11315" max="11315" width="15.85546875" style="140" customWidth="1"/>
    <col min="11316" max="11316" width="18.28515625" style="140" customWidth="1"/>
    <col min="11317" max="11317" width="16.28515625" style="140" customWidth="1"/>
    <col min="11318" max="11522" width="11.42578125" style="140"/>
    <col min="11523" max="11534" width="2.7109375" style="140" customWidth="1"/>
    <col min="11535" max="11536" width="6.140625" style="140" customWidth="1"/>
    <col min="11537" max="11545" width="2.7109375" style="140" customWidth="1"/>
    <col min="11546" max="11546" width="14.7109375" style="140" customWidth="1"/>
    <col min="11547" max="11547" width="6.28515625" style="140" customWidth="1"/>
    <col min="11548" max="11558" width="2.7109375" style="140" customWidth="1"/>
    <col min="11559" max="11559" width="25.42578125" style="140" customWidth="1"/>
    <col min="11560" max="11560" width="17.85546875" style="140" customWidth="1"/>
    <col min="11561" max="11561" width="15.85546875" style="140" customWidth="1"/>
    <col min="11562" max="11562" width="14.7109375" style="140" customWidth="1"/>
    <col min="11563" max="11563" width="15.85546875" style="140" customWidth="1"/>
    <col min="11564" max="11564" width="15" style="140" customWidth="1"/>
    <col min="11565" max="11565" width="18.140625" style="140" customWidth="1"/>
    <col min="11566" max="11566" width="22.42578125" style="140" customWidth="1"/>
    <col min="11567" max="11567" width="23.7109375" style="140" customWidth="1"/>
    <col min="11568" max="11568" width="14" style="140" customWidth="1"/>
    <col min="11569" max="11569" width="15" style="140" customWidth="1"/>
    <col min="11570" max="11570" width="21.28515625" style="140" customWidth="1"/>
    <col min="11571" max="11571" width="15.85546875" style="140" customWidth="1"/>
    <col min="11572" max="11572" width="18.28515625" style="140" customWidth="1"/>
    <col min="11573" max="11573" width="16.28515625" style="140" customWidth="1"/>
    <col min="11574" max="11778" width="11.42578125" style="140"/>
    <col min="11779" max="11790" width="2.7109375" style="140" customWidth="1"/>
    <col min="11791" max="11792" width="6.140625" style="140" customWidth="1"/>
    <col min="11793" max="11801" width="2.7109375" style="140" customWidth="1"/>
    <col min="11802" max="11802" width="14.7109375" style="140" customWidth="1"/>
    <col min="11803" max="11803" width="6.28515625" style="140" customWidth="1"/>
    <col min="11804" max="11814" width="2.7109375" style="140" customWidth="1"/>
    <col min="11815" max="11815" width="25.42578125" style="140" customWidth="1"/>
    <col min="11816" max="11816" width="17.85546875" style="140" customWidth="1"/>
    <col min="11817" max="11817" width="15.85546875" style="140" customWidth="1"/>
    <col min="11818" max="11818" width="14.7109375" style="140" customWidth="1"/>
    <col min="11819" max="11819" width="15.85546875" style="140" customWidth="1"/>
    <col min="11820" max="11820" width="15" style="140" customWidth="1"/>
    <col min="11821" max="11821" width="18.140625" style="140" customWidth="1"/>
    <col min="11822" max="11822" width="22.42578125" style="140" customWidth="1"/>
    <col min="11823" max="11823" width="23.7109375" style="140" customWidth="1"/>
    <col min="11824" max="11824" width="14" style="140" customWidth="1"/>
    <col min="11825" max="11825" width="15" style="140" customWidth="1"/>
    <col min="11826" max="11826" width="21.28515625" style="140" customWidth="1"/>
    <col min="11827" max="11827" width="15.85546875" style="140" customWidth="1"/>
    <col min="11828" max="11828" width="18.28515625" style="140" customWidth="1"/>
    <col min="11829" max="11829" width="16.28515625" style="140" customWidth="1"/>
    <col min="11830" max="12034" width="11.42578125" style="140"/>
    <col min="12035" max="12046" width="2.7109375" style="140" customWidth="1"/>
    <col min="12047" max="12048" width="6.140625" style="140" customWidth="1"/>
    <col min="12049" max="12057" width="2.7109375" style="140" customWidth="1"/>
    <col min="12058" max="12058" width="14.7109375" style="140" customWidth="1"/>
    <col min="12059" max="12059" width="6.28515625" style="140" customWidth="1"/>
    <col min="12060" max="12070" width="2.7109375" style="140" customWidth="1"/>
    <col min="12071" max="12071" width="25.42578125" style="140" customWidth="1"/>
    <col min="12072" max="12072" width="17.85546875" style="140" customWidth="1"/>
    <col min="12073" max="12073" width="15.85546875" style="140" customWidth="1"/>
    <col min="12074" max="12074" width="14.7109375" style="140" customWidth="1"/>
    <col min="12075" max="12075" width="15.85546875" style="140" customWidth="1"/>
    <col min="12076" max="12076" width="15" style="140" customWidth="1"/>
    <col min="12077" max="12077" width="18.140625" style="140" customWidth="1"/>
    <col min="12078" max="12078" width="22.42578125" style="140" customWidth="1"/>
    <col min="12079" max="12079" width="23.7109375" style="140" customWidth="1"/>
    <col min="12080" max="12080" width="14" style="140" customWidth="1"/>
    <col min="12081" max="12081" width="15" style="140" customWidth="1"/>
    <col min="12082" max="12082" width="21.28515625" style="140" customWidth="1"/>
    <col min="12083" max="12083" width="15.85546875" style="140" customWidth="1"/>
    <col min="12084" max="12084" width="18.28515625" style="140" customWidth="1"/>
    <col min="12085" max="12085" width="16.28515625" style="140" customWidth="1"/>
    <col min="12086" max="12290" width="11.42578125" style="140"/>
    <col min="12291" max="12302" width="2.7109375" style="140" customWidth="1"/>
    <col min="12303" max="12304" width="6.140625" style="140" customWidth="1"/>
    <col min="12305" max="12313" width="2.7109375" style="140" customWidth="1"/>
    <col min="12314" max="12314" width="14.7109375" style="140" customWidth="1"/>
    <col min="12315" max="12315" width="6.28515625" style="140" customWidth="1"/>
    <col min="12316" max="12326" width="2.7109375" style="140" customWidth="1"/>
    <col min="12327" max="12327" width="25.42578125" style="140" customWidth="1"/>
    <col min="12328" max="12328" width="17.85546875" style="140" customWidth="1"/>
    <col min="12329" max="12329" width="15.85546875" style="140" customWidth="1"/>
    <col min="12330" max="12330" width="14.7109375" style="140" customWidth="1"/>
    <col min="12331" max="12331" width="15.85546875" style="140" customWidth="1"/>
    <col min="12332" max="12332" width="15" style="140" customWidth="1"/>
    <col min="12333" max="12333" width="18.140625" style="140" customWidth="1"/>
    <col min="12334" max="12334" width="22.42578125" style="140" customWidth="1"/>
    <col min="12335" max="12335" width="23.7109375" style="140" customWidth="1"/>
    <col min="12336" max="12336" width="14" style="140" customWidth="1"/>
    <col min="12337" max="12337" width="15" style="140" customWidth="1"/>
    <col min="12338" max="12338" width="21.28515625" style="140" customWidth="1"/>
    <col min="12339" max="12339" width="15.85546875" style="140" customWidth="1"/>
    <col min="12340" max="12340" width="18.28515625" style="140" customWidth="1"/>
    <col min="12341" max="12341" width="16.28515625" style="140" customWidth="1"/>
    <col min="12342" max="12546" width="11.42578125" style="140"/>
    <col min="12547" max="12558" width="2.7109375" style="140" customWidth="1"/>
    <col min="12559" max="12560" width="6.140625" style="140" customWidth="1"/>
    <col min="12561" max="12569" width="2.7109375" style="140" customWidth="1"/>
    <col min="12570" max="12570" width="14.7109375" style="140" customWidth="1"/>
    <col min="12571" max="12571" width="6.28515625" style="140" customWidth="1"/>
    <col min="12572" max="12582" width="2.7109375" style="140" customWidth="1"/>
    <col min="12583" max="12583" width="25.42578125" style="140" customWidth="1"/>
    <col min="12584" max="12584" width="17.85546875" style="140" customWidth="1"/>
    <col min="12585" max="12585" width="15.85546875" style="140" customWidth="1"/>
    <col min="12586" max="12586" width="14.7109375" style="140" customWidth="1"/>
    <col min="12587" max="12587" width="15.85546875" style="140" customWidth="1"/>
    <col min="12588" max="12588" width="15" style="140" customWidth="1"/>
    <col min="12589" max="12589" width="18.140625" style="140" customWidth="1"/>
    <col min="12590" max="12590" width="22.42578125" style="140" customWidth="1"/>
    <col min="12591" max="12591" width="23.7109375" style="140" customWidth="1"/>
    <col min="12592" max="12592" width="14" style="140" customWidth="1"/>
    <col min="12593" max="12593" width="15" style="140" customWidth="1"/>
    <col min="12594" max="12594" width="21.28515625" style="140" customWidth="1"/>
    <col min="12595" max="12595" width="15.85546875" style="140" customWidth="1"/>
    <col min="12596" max="12596" width="18.28515625" style="140" customWidth="1"/>
    <col min="12597" max="12597" width="16.28515625" style="140" customWidth="1"/>
    <col min="12598" max="12802" width="11.42578125" style="140"/>
    <col min="12803" max="12814" width="2.7109375" style="140" customWidth="1"/>
    <col min="12815" max="12816" width="6.140625" style="140" customWidth="1"/>
    <col min="12817" max="12825" width="2.7109375" style="140" customWidth="1"/>
    <col min="12826" max="12826" width="14.7109375" style="140" customWidth="1"/>
    <col min="12827" max="12827" width="6.28515625" style="140" customWidth="1"/>
    <col min="12828" max="12838" width="2.7109375" style="140" customWidth="1"/>
    <col min="12839" max="12839" width="25.42578125" style="140" customWidth="1"/>
    <col min="12840" max="12840" width="17.85546875" style="140" customWidth="1"/>
    <col min="12841" max="12841" width="15.85546875" style="140" customWidth="1"/>
    <col min="12842" max="12842" width="14.7109375" style="140" customWidth="1"/>
    <col min="12843" max="12843" width="15.85546875" style="140" customWidth="1"/>
    <col min="12844" max="12844" width="15" style="140" customWidth="1"/>
    <col min="12845" max="12845" width="18.140625" style="140" customWidth="1"/>
    <col min="12846" max="12846" width="22.42578125" style="140" customWidth="1"/>
    <col min="12847" max="12847" width="23.7109375" style="140" customWidth="1"/>
    <col min="12848" max="12848" width="14" style="140" customWidth="1"/>
    <col min="12849" max="12849" width="15" style="140" customWidth="1"/>
    <col min="12850" max="12850" width="21.28515625" style="140" customWidth="1"/>
    <col min="12851" max="12851" width="15.85546875" style="140" customWidth="1"/>
    <col min="12852" max="12852" width="18.28515625" style="140" customWidth="1"/>
    <col min="12853" max="12853" width="16.28515625" style="140" customWidth="1"/>
    <col min="12854" max="13058" width="11.42578125" style="140"/>
    <col min="13059" max="13070" width="2.7109375" style="140" customWidth="1"/>
    <col min="13071" max="13072" width="6.140625" style="140" customWidth="1"/>
    <col min="13073" max="13081" width="2.7109375" style="140" customWidth="1"/>
    <col min="13082" max="13082" width="14.7109375" style="140" customWidth="1"/>
    <col min="13083" max="13083" width="6.28515625" style="140" customWidth="1"/>
    <col min="13084" max="13094" width="2.7109375" style="140" customWidth="1"/>
    <col min="13095" max="13095" width="25.42578125" style="140" customWidth="1"/>
    <col min="13096" max="13096" width="17.85546875" style="140" customWidth="1"/>
    <col min="13097" max="13097" width="15.85546875" style="140" customWidth="1"/>
    <col min="13098" max="13098" width="14.7109375" style="140" customWidth="1"/>
    <col min="13099" max="13099" width="15.85546875" style="140" customWidth="1"/>
    <col min="13100" max="13100" width="15" style="140" customWidth="1"/>
    <col min="13101" max="13101" width="18.140625" style="140" customWidth="1"/>
    <col min="13102" max="13102" width="22.42578125" style="140" customWidth="1"/>
    <col min="13103" max="13103" width="23.7109375" style="140" customWidth="1"/>
    <col min="13104" max="13104" width="14" style="140" customWidth="1"/>
    <col min="13105" max="13105" width="15" style="140" customWidth="1"/>
    <col min="13106" max="13106" width="21.28515625" style="140" customWidth="1"/>
    <col min="13107" max="13107" width="15.85546875" style="140" customWidth="1"/>
    <col min="13108" max="13108" width="18.28515625" style="140" customWidth="1"/>
    <col min="13109" max="13109" width="16.28515625" style="140" customWidth="1"/>
    <col min="13110" max="13314" width="11.42578125" style="140"/>
    <col min="13315" max="13326" width="2.7109375" style="140" customWidth="1"/>
    <col min="13327" max="13328" width="6.140625" style="140" customWidth="1"/>
    <col min="13329" max="13337" width="2.7109375" style="140" customWidth="1"/>
    <col min="13338" max="13338" width="14.7109375" style="140" customWidth="1"/>
    <col min="13339" max="13339" width="6.28515625" style="140" customWidth="1"/>
    <col min="13340" max="13350" width="2.7109375" style="140" customWidth="1"/>
    <col min="13351" max="13351" width="25.42578125" style="140" customWidth="1"/>
    <col min="13352" max="13352" width="17.85546875" style="140" customWidth="1"/>
    <col min="13353" max="13353" width="15.85546875" style="140" customWidth="1"/>
    <col min="13354" max="13354" width="14.7109375" style="140" customWidth="1"/>
    <col min="13355" max="13355" width="15.85546875" style="140" customWidth="1"/>
    <col min="13356" max="13356" width="15" style="140" customWidth="1"/>
    <col min="13357" max="13357" width="18.140625" style="140" customWidth="1"/>
    <col min="13358" max="13358" width="22.42578125" style="140" customWidth="1"/>
    <col min="13359" max="13359" width="23.7109375" style="140" customWidth="1"/>
    <col min="13360" max="13360" width="14" style="140" customWidth="1"/>
    <col min="13361" max="13361" width="15" style="140" customWidth="1"/>
    <col min="13362" max="13362" width="21.28515625" style="140" customWidth="1"/>
    <col min="13363" max="13363" width="15.85546875" style="140" customWidth="1"/>
    <col min="13364" max="13364" width="18.28515625" style="140" customWidth="1"/>
    <col min="13365" max="13365" width="16.28515625" style="140" customWidth="1"/>
    <col min="13366" max="13570" width="11.42578125" style="140"/>
    <col min="13571" max="13582" width="2.7109375" style="140" customWidth="1"/>
    <col min="13583" max="13584" width="6.140625" style="140" customWidth="1"/>
    <col min="13585" max="13593" width="2.7109375" style="140" customWidth="1"/>
    <col min="13594" max="13594" width="14.7109375" style="140" customWidth="1"/>
    <col min="13595" max="13595" width="6.28515625" style="140" customWidth="1"/>
    <col min="13596" max="13606" width="2.7109375" style="140" customWidth="1"/>
    <col min="13607" max="13607" width="25.42578125" style="140" customWidth="1"/>
    <col min="13608" max="13608" width="17.85546875" style="140" customWidth="1"/>
    <col min="13609" max="13609" width="15.85546875" style="140" customWidth="1"/>
    <col min="13610" max="13610" width="14.7109375" style="140" customWidth="1"/>
    <col min="13611" max="13611" width="15.85546875" style="140" customWidth="1"/>
    <col min="13612" max="13612" width="15" style="140" customWidth="1"/>
    <col min="13613" max="13613" width="18.140625" style="140" customWidth="1"/>
    <col min="13614" max="13614" width="22.42578125" style="140" customWidth="1"/>
    <col min="13615" max="13615" width="23.7109375" style="140" customWidth="1"/>
    <col min="13616" max="13616" width="14" style="140" customWidth="1"/>
    <col min="13617" max="13617" width="15" style="140" customWidth="1"/>
    <col min="13618" max="13618" width="21.28515625" style="140" customWidth="1"/>
    <col min="13619" max="13619" width="15.85546875" style="140" customWidth="1"/>
    <col min="13620" max="13620" width="18.28515625" style="140" customWidth="1"/>
    <col min="13621" max="13621" width="16.28515625" style="140" customWidth="1"/>
    <col min="13622" max="13826" width="11.42578125" style="140"/>
    <col min="13827" max="13838" width="2.7109375" style="140" customWidth="1"/>
    <col min="13839" max="13840" width="6.140625" style="140" customWidth="1"/>
    <col min="13841" max="13849" width="2.7109375" style="140" customWidth="1"/>
    <col min="13850" max="13850" width="14.7109375" style="140" customWidth="1"/>
    <col min="13851" max="13851" width="6.28515625" style="140" customWidth="1"/>
    <col min="13852" max="13862" width="2.7109375" style="140" customWidth="1"/>
    <col min="13863" max="13863" width="25.42578125" style="140" customWidth="1"/>
    <col min="13864" max="13864" width="17.85546875" style="140" customWidth="1"/>
    <col min="13865" max="13865" width="15.85546875" style="140" customWidth="1"/>
    <col min="13866" max="13866" width="14.7109375" style="140" customWidth="1"/>
    <col min="13867" max="13867" width="15.85546875" style="140" customWidth="1"/>
    <col min="13868" max="13868" width="15" style="140" customWidth="1"/>
    <col min="13869" max="13869" width="18.140625" style="140" customWidth="1"/>
    <col min="13870" max="13870" width="22.42578125" style="140" customWidth="1"/>
    <col min="13871" max="13871" width="23.7109375" style="140" customWidth="1"/>
    <col min="13872" max="13872" width="14" style="140" customWidth="1"/>
    <col min="13873" max="13873" width="15" style="140" customWidth="1"/>
    <col min="13874" max="13874" width="21.28515625" style="140" customWidth="1"/>
    <col min="13875" max="13875" width="15.85546875" style="140" customWidth="1"/>
    <col min="13876" max="13876" width="18.28515625" style="140" customWidth="1"/>
    <col min="13877" max="13877" width="16.28515625" style="140" customWidth="1"/>
    <col min="13878" max="14082" width="11.42578125" style="140"/>
    <col min="14083" max="14094" width="2.7109375" style="140" customWidth="1"/>
    <col min="14095" max="14096" width="6.140625" style="140" customWidth="1"/>
    <col min="14097" max="14105" width="2.7109375" style="140" customWidth="1"/>
    <col min="14106" max="14106" width="14.7109375" style="140" customWidth="1"/>
    <col min="14107" max="14107" width="6.28515625" style="140" customWidth="1"/>
    <col min="14108" max="14118" width="2.7109375" style="140" customWidth="1"/>
    <col min="14119" max="14119" width="25.42578125" style="140" customWidth="1"/>
    <col min="14120" max="14120" width="17.85546875" style="140" customWidth="1"/>
    <col min="14121" max="14121" width="15.85546875" style="140" customWidth="1"/>
    <col min="14122" max="14122" width="14.7109375" style="140" customWidth="1"/>
    <col min="14123" max="14123" width="15.85546875" style="140" customWidth="1"/>
    <col min="14124" max="14124" width="15" style="140" customWidth="1"/>
    <col min="14125" max="14125" width="18.140625" style="140" customWidth="1"/>
    <col min="14126" max="14126" width="22.42578125" style="140" customWidth="1"/>
    <col min="14127" max="14127" width="23.7109375" style="140" customWidth="1"/>
    <col min="14128" max="14128" width="14" style="140" customWidth="1"/>
    <col min="14129" max="14129" width="15" style="140" customWidth="1"/>
    <col min="14130" max="14130" width="21.28515625" style="140" customWidth="1"/>
    <col min="14131" max="14131" width="15.85546875" style="140" customWidth="1"/>
    <col min="14132" max="14132" width="18.28515625" style="140" customWidth="1"/>
    <col min="14133" max="14133" width="16.28515625" style="140" customWidth="1"/>
    <col min="14134" max="14338" width="11.42578125" style="140"/>
    <col min="14339" max="14350" width="2.7109375" style="140" customWidth="1"/>
    <col min="14351" max="14352" width="6.140625" style="140" customWidth="1"/>
    <col min="14353" max="14361" width="2.7109375" style="140" customWidth="1"/>
    <col min="14362" max="14362" width="14.7109375" style="140" customWidth="1"/>
    <col min="14363" max="14363" width="6.28515625" style="140" customWidth="1"/>
    <col min="14364" max="14374" width="2.7109375" style="140" customWidth="1"/>
    <col min="14375" max="14375" width="25.42578125" style="140" customWidth="1"/>
    <col min="14376" max="14376" width="17.85546875" style="140" customWidth="1"/>
    <col min="14377" max="14377" width="15.85546875" style="140" customWidth="1"/>
    <col min="14378" max="14378" width="14.7109375" style="140" customWidth="1"/>
    <col min="14379" max="14379" width="15.85546875" style="140" customWidth="1"/>
    <col min="14380" max="14380" width="15" style="140" customWidth="1"/>
    <col min="14381" max="14381" width="18.140625" style="140" customWidth="1"/>
    <col min="14382" max="14382" width="22.42578125" style="140" customWidth="1"/>
    <col min="14383" max="14383" width="23.7109375" style="140" customWidth="1"/>
    <col min="14384" max="14384" width="14" style="140" customWidth="1"/>
    <col min="14385" max="14385" width="15" style="140" customWidth="1"/>
    <col min="14386" max="14386" width="21.28515625" style="140" customWidth="1"/>
    <col min="14387" max="14387" width="15.85546875" style="140" customWidth="1"/>
    <col min="14388" max="14388" width="18.28515625" style="140" customWidth="1"/>
    <col min="14389" max="14389" width="16.28515625" style="140" customWidth="1"/>
    <col min="14390" max="14594" width="11.42578125" style="140"/>
    <col min="14595" max="14606" width="2.7109375" style="140" customWidth="1"/>
    <col min="14607" max="14608" width="6.140625" style="140" customWidth="1"/>
    <col min="14609" max="14617" width="2.7109375" style="140" customWidth="1"/>
    <col min="14618" max="14618" width="14.7109375" style="140" customWidth="1"/>
    <col min="14619" max="14619" width="6.28515625" style="140" customWidth="1"/>
    <col min="14620" max="14630" width="2.7109375" style="140" customWidth="1"/>
    <col min="14631" max="14631" width="25.42578125" style="140" customWidth="1"/>
    <col min="14632" max="14632" width="17.85546875" style="140" customWidth="1"/>
    <col min="14633" max="14633" width="15.85546875" style="140" customWidth="1"/>
    <col min="14634" max="14634" width="14.7109375" style="140" customWidth="1"/>
    <col min="14635" max="14635" width="15.85546875" style="140" customWidth="1"/>
    <col min="14636" max="14636" width="15" style="140" customWidth="1"/>
    <col min="14637" max="14637" width="18.140625" style="140" customWidth="1"/>
    <col min="14638" max="14638" width="22.42578125" style="140" customWidth="1"/>
    <col min="14639" max="14639" width="23.7109375" style="140" customWidth="1"/>
    <col min="14640" max="14640" width="14" style="140" customWidth="1"/>
    <col min="14641" max="14641" width="15" style="140" customWidth="1"/>
    <col min="14642" max="14642" width="21.28515625" style="140" customWidth="1"/>
    <col min="14643" max="14643" width="15.85546875" style="140" customWidth="1"/>
    <col min="14644" max="14644" width="18.28515625" style="140" customWidth="1"/>
    <col min="14645" max="14645" width="16.28515625" style="140" customWidth="1"/>
    <col min="14646" max="14850" width="11.42578125" style="140"/>
    <col min="14851" max="14862" width="2.7109375" style="140" customWidth="1"/>
    <col min="14863" max="14864" width="6.140625" style="140" customWidth="1"/>
    <col min="14865" max="14873" width="2.7109375" style="140" customWidth="1"/>
    <col min="14874" max="14874" width="14.7109375" style="140" customWidth="1"/>
    <col min="14875" max="14875" width="6.28515625" style="140" customWidth="1"/>
    <col min="14876" max="14886" width="2.7109375" style="140" customWidth="1"/>
    <col min="14887" max="14887" width="25.42578125" style="140" customWidth="1"/>
    <col min="14888" max="14888" width="17.85546875" style="140" customWidth="1"/>
    <col min="14889" max="14889" width="15.85546875" style="140" customWidth="1"/>
    <col min="14890" max="14890" width="14.7109375" style="140" customWidth="1"/>
    <col min="14891" max="14891" width="15.85546875" style="140" customWidth="1"/>
    <col min="14892" max="14892" width="15" style="140" customWidth="1"/>
    <col min="14893" max="14893" width="18.140625" style="140" customWidth="1"/>
    <col min="14894" max="14894" width="22.42578125" style="140" customWidth="1"/>
    <col min="14895" max="14895" width="23.7109375" style="140" customWidth="1"/>
    <col min="14896" max="14896" width="14" style="140" customWidth="1"/>
    <col min="14897" max="14897" width="15" style="140" customWidth="1"/>
    <col min="14898" max="14898" width="21.28515625" style="140" customWidth="1"/>
    <col min="14899" max="14899" width="15.85546875" style="140" customWidth="1"/>
    <col min="14900" max="14900" width="18.28515625" style="140" customWidth="1"/>
    <col min="14901" max="14901" width="16.28515625" style="140" customWidth="1"/>
    <col min="14902" max="15106" width="11.42578125" style="140"/>
    <col min="15107" max="15118" width="2.7109375" style="140" customWidth="1"/>
    <col min="15119" max="15120" width="6.140625" style="140" customWidth="1"/>
    <col min="15121" max="15129" width="2.7109375" style="140" customWidth="1"/>
    <col min="15130" max="15130" width="14.7109375" style="140" customWidth="1"/>
    <col min="15131" max="15131" width="6.28515625" style="140" customWidth="1"/>
    <col min="15132" max="15142" width="2.7109375" style="140" customWidth="1"/>
    <col min="15143" max="15143" width="25.42578125" style="140" customWidth="1"/>
    <col min="15144" max="15144" width="17.85546875" style="140" customWidth="1"/>
    <col min="15145" max="15145" width="15.85546875" style="140" customWidth="1"/>
    <col min="15146" max="15146" width="14.7109375" style="140" customWidth="1"/>
    <col min="15147" max="15147" width="15.85546875" style="140" customWidth="1"/>
    <col min="15148" max="15148" width="15" style="140" customWidth="1"/>
    <col min="15149" max="15149" width="18.140625" style="140" customWidth="1"/>
    <col min="15150" max="15150" width="22.42578125" style="140" customWidth="1"/>
    <col min="15151" max="15151" width="23.7109375" style="140" customWidth="1"/>
    <col min="15152" max="15152" width="14" style="140" customWidth="1"/>
    <col min="15153" max="15153" width="15" style="140" customWidth="1"/>
    <col min="15154" max="15154" width="21.28515625" style="140" customWidth="1"/>
    <col min="15155" max="15155" width="15.85546875" style="140" customWidth="1"/>
    <col min="15156" max="15156" width="18.28515625" style="140" customWidth="1"/>
    <col min="15157" max="15157" width="16.28515625" style="140" customWidth="1"/>
    <col min="15158" max="15362" width="11.42578125" style="140"/>
    <col min="15363" max="15374" width="2.7109375" style="140" customWidth="1"/>
    <col min="15375" max="15376" width="6.140625" style="140" customWidth="1"/>
    <col min="15377" max="15385" width="2.7109375" style="140" customWidth="1"/>
    <col min="15386" max="15386" width="14.7109375" style="140" customWidth="1"/>
    <col min="15387" max="15387" width="6.28515625" style="140" customWidth="1"/>
    <col min="15388" max="15398" width="2.7109375" style="140" customWidth="1"/>
    <col min="15399" max="15399" width="25.42578125" style="140" customWidth="1"/>
    <col min="15400" max="15400" width="17.85546875" style="140" customWidth="1"/>
    <col min="15401" max="15401" width="15.85546875" style="140" customWidth="1"/>
    <col min="15402" max="15402" width="14.7109375" style="140" customWidth="1"/>
    <col min="15403" max="15403" width="15.85546875" style="140" customWidth="1"/>
    <col min="15404" max="15404" width="15" style="140" customWidth="1"/>
    <col min="15405" max="15405" width="18.140625" style="140" customWidth="1"/>
    <col min="15406" max="15406" width="22.42578125" style="140" customWidth="1"/>
    <col min="15407" max="15407" width="23.7109375" style="140" customWidth="1"/>
    <col min="15408" max="15408" width="14" style="140" customWidth="1"/>
    <col min="15409" max="15409" width="15" style="140" customWidth="1"/>
    <col min="15410" max="15410" width="21.28515625" style="140" customWidth="1"/>
    <col min="15411" max="15411" width="15.85546875" style="140" customWidth="1"/>
    <col min="15412" max="15412" width="18.28515625" style="140" customWidth="1"/>
    <col min="15413" max="15413" width="16.28515625" style="140" customWidth="1"/>
    <col min="15414" max="15618" width="11.42578125" style="140"/>
    <col min="15619" max="15630" width="2.7109375" style="140" customWidth="1"/>
    <col min="15631" max="15632" width="6.140625" style="140" customWidth="1"/>
    <col min="15633" max="15641" width="2.7109375" style="140" customWidth="1"/>
    <col min="15642" max="15642" width="14.7109375" style="140" customWidth="1"/>
    <col min="15643" max="15643" width="6.28515625" style="140" customWidth="1"/>
    <col min="15644" max="15654" width="2.7109375" style="140" customWidth="1"/>
    <col min="15655" max="15655" width="25.42578125" style="140" customWidth="1"/>
    <col min="15656" max="15656" width="17.85546875" style="140" customWidth="1"/>
    <col min="15657" max="15657" width="15.85546875" style="140" customWidth="1"/>
    <col min="15658" max="15658" width="14.7109375" style="140" customWidth="1"/>
    <col min="15659" max="15659" width="15.85546875" style="140" customWidth="1"/>
    <col min="15660" max="15660" width="15" style="140" customWidth="1"/>
    <col min="15661" max="15661" width="18.140625" style="140" customWidth="1"/>
    <col min="15662" max="15662" width="22.42578125" style="140" customWidth="1"/>
    <col min="15663" max="15663" width="23.7109375" style="140" customWidth="1"/>
    <col min="15664" max="15664" width="14" style="140" customWidth="1"/>
    <col min="15665" max="15665" width="15" style="140" customWidth="1"/>
    <col min="15666" max="15666" width="21.28515625" style="140" customWidth="1"/>
    <col min="15667" max="15667" width="15.85546875" style="140" customWidth="1"/>
    <col min="15668" max="15668" width="18.28515625" style="140" customWidth="1"/>
    <col min="15669" max="15669" width="16.28515625" style="140" customWidth="1"/>
    <col min="15670" max="15874" width="11.42578125" style="140"/>
    <col min="15875" max="15886" width="2.7109375" style="140" customWidth="1"/>
    <col min="15887" max="15888" width="6.140625" style="140" customWidth="1"/>
    <col min="15889" max="15897" width="2.7109375" style="140" customWidth="1"/>
    <col min="15898" max="15898" width="14.7109375" style="140" customWidth="1"/>
    <col min="15899" max="15899" width="6.28515625" style="140" customWidth="1"/>
    <col min="15900" max="15910" width="2.7109375" style="140" customWidth="1"/>
    <col min="15911" max="15911" width="25.42578125" style="140" customWidth="1"/>
    <col min="15912" max="15912" width="17.85546875" style="140" customWidth="1"/>
    <col min="15913" max="15913" width="15.85546875" style="140" customWidth="1"/>
    <col min="15914" max="15914" width="14.7109375" style="140" customWidth="1"/>
    <col min="15915" max="15915" width="15.85546875" style="140" customWidth="1"/>
    <col min="15916" max="15916" width="15" style="140" customWidth="1"/>
    <col min="15917" max="15917" width="18.140625" style="140" customWidth="1"/>
    <col min="15918" max="15918" width="22.42578125" style="140" customWidth="1"/>
    <col min="15919" max="15919" width="23.7109375" style="140" customWidth="1"/>
    <col min="15920" max="15920" width="14" style="140" customWidth="1"/>
    <col min="15921" max="15921" width="15" style="140" customWidth="1"/>
    <col min="15922" max="15922" width="21.28515625" style="140" customWidth="1"/>
    <col min="15923" max="15923" width="15.85546875" style="140" customWidth="1"/>
    <col min="15924" max="15924" width="18.28515625" style="140" customWidth="1"/>
    <col min="15925" max="15925" width="16.28515625" style="140" customWidth="1"/>
    <col min="15926" max="16130" width="11.42578125" style="140"/>
    <col min="16131" max="16142" width="2.7109375" style="140" customWidth="1"/>
    <col min="16143" max="16144" width="6.140625" style="140" customWidth="1"/>
    <col min="16145" max="16153" width="2.7109375" style="140" customWidth="1"/>
    <col min="16154" max="16154" width="14.7109375" style="140" customWidth="1"/>
    <col min="16155" max="16155" width="6.28515625" style="140" customWidth="1"/>
    <col min="16156" max="16166" width="2.7109375" style="140" customWidth="1"/>
    <col min="16167" max="16167" width="25.42578125" style="140" customWidth="1"/>
    <col min="16168" max="16168" width="17.85546875" style="140" customWidth="1"/>
    <col min="16169" max="16169" width="15.85546875" style="140" customWidth="1"/>
    <col min="16170" max="16170" width="14.7109375" style="140" customWidth="1"/>
    <col min="16171" max="16171" width="15.85546875" style="140" customWidth="1"/>
    <col min="16172" max="16172" width="15" style="140" customWidth="1"/>
    <col min="16173" max="16173" width="18.140625" style="140" customWidth="1"/>
    <col min="16174" max="16174" width="22.42578125" style="140" customWidth="1"/>
    <col min="16175" max="16175" width="23.7109375" style="140" customWidth="1"/>
    <col min="16176" max="16176" width="14" style="140" customWidth="1"/>
    <col min="16177" max="16177" width="15" style="140" customWidth="1"/>
    <col min="16178" max="16178" width="21.28515625" style="140" customWidth="1"/>
    <col min="16179" max="16179" width="15.85546875" style="140" customWidth="1"/>
    <col min="16180" max="16180" width="18.28515625" style="140" customWidth="1"/>
    <col min="16181" max="16181" width="16.28515625" style="140" customWidth="1"/>
    <col min="16182" max="16384" width="11.42578125" style="140"/>
  </cols>
  <sheetData>
    <row r="1" spans="3:66" s="184" customFormat="1" ht="12.95" customHeight="1">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3"/>
      <c r="AJ1" s="183"/>
      <c r="AK1" s="1252"/>
      <c r="AL1" s="1253" t="s">
        <v>8</v>
      </c>
      <c r="AM1" s="1254"/>
      <c r="AN1" s="1254"/>
      <c r="AO1" s="1254"/>
      <c r="AP1" s="1254"/>
      <c r="AQ1" s="1255"/>
      <c r="AR1" s="1988"/>
      <c r="AS1" s="1989"/>
      <c r="AT1" s="1970" t="s">
        <v>8</v>
      </c>
      <c r="AU1" s="1971"/>
      <c r="AV1" s="1971"/>
      <c r="AW1" s="1971"/>
      <c r="AX1" s="1971"/>
      <c r="AY1" s="1971"/>
      <c r="AZ1" s="1972"/>
    </row>
    <row r="2" spans="3:66" s="184" customFormat="1" ht="12.95" customHeight="1">
      <c r="C2" s="182"/>
      <c r="D2" s="182"/>
      <c r="E2" s="182"/>
      <c r="F2" s="182"/>
      <c r="G2" s="182"/>
      <c r="H2" s="182"/>
      <c r="I2" s="182"/>
      <c r="J2" s="182"/>
      <c r="K2" s="182"/>
      <c r="L2" s="182"/>
      <c r="M2" s="182"/>
      <c r="N2" s="182"/>
      <c r="O2" s="183"/>
      <c r="P2" s="183"/>
      <c r="Q2" s="183"/>
      <c r="R2" s="183"/>
      <c r="S2" s="183"/>
      <c r="T2" s="183"/>
      <c r="U2" s="183"/>
      <c r="V2" s="183"/>
      <c r="W2" s="183"/>
      <c r="X2" s="183"/>
      <c r="Y2" s="183"/>
      <c r="Z2" s="183"/>
      <c r="AA2" s="183"/>
      <c r="AB2" s="183"/>
      <c r="AC2" s="183"/>
      <c r="AD2" s="183"/>
      <c r="AE2" s="183"/>
      <c r="AF2" s="183"/>
      <c r="AG2" s="183"/>
      <c r="AH2" s="183"/>
      <c r="AI2" s="183"/>
      <c r="AJ2" s="183"/>
      <c r="AK2" s="1252"/>
      <c r="AL2" s="1256" t="s">
        <v>472</v>
      </c>
      <c r="AM2" s="1257"/>
      <c r="AN2" s="1257"/>
      <c r="AO2" s="1257"/>
      <c r="AP2" s="1257"/>
      <c r="AQ2" s="1258"/>
      <c r="AR2" s="1990"/>
      <c r="AS2" s="1991"/>
      <c r="AT2" s="1973" t="s">
        <v>130</v>
      </c>
      <c r="AU2" s="1257"/>
      <c r="AV2" s="1257"/>
      <c r="AW2" s="1257"/>
      <c r="AX2" s="1257"/>
      <c r="AY2" s="1257"/>
      <c r="AZ2" s="1974"/>
    </row>
    <row r="3" spans="3:66" s="184" customFormat="1" ht="12.95" customHeight="1">
      <c r="C3" s="182"/>
      <c r="D3" s="182"/>
      <c r="E3" s="182"/>
      <c r="F3" s="182"/>
      <c r="G3" s="182"/>
      <c r="H3" s="182"/>
      <c r="I3" s="182"/>
      <c r="J3" s="182"/>
      <c r="K3" s="182"/>
      <c r="L3" s="182"/>
      <c r="M3" s="182"/>
      <c r="N3" s="182"/>
      <c r="O3" s="183"/>
      <c r="P3" s="183"/>
      <c r="Q3" s="183"/>
      <c r="R3" s="183"/>
      <c r="S3" s="183"/>
      <c r="T3" s="183"/>
      <c r="U3" s="183"/>
      <c r="V3" s="183"/>
      <c r="W3" s="183"/>
      <c r="X3" s="183"/>
      <c r="Y3" s="183"/>
      <c r="Z3" s="183"/>
      <c r="AA3" s="183"/>
      <c r="AB3" s="183"/>
      <c r="AC3" s="183"/>
      <c r="AD3" s="183"/>
      <c r="AE3" s="183"/>
      <c r="AF3" s="183"/>
      <c r="AG3" s="183"/>
      <c r="AH3" s="183"/>
      <c r="AI3" s="183"/>
      <c r="AJ3" s="183"/>
      <c r="AK3" s="1252"/>
      <c r="AL3" s="1259" t="s">
        <v>302</v>
      </c>
      <c r="AM3" s="2198"/>
      <c r="AN3" s="2198"/>
      <c r="AO3" s="2198"/>
      <c r="AP3" s="2198"/>
      <c r="AQ3" s="1261"/>
      <c r="AR3" s="1990"/>
      <c r="AS3" s="1991"/>
      <c r="AT3" s="1973" t="s">
        <v>309</v>
      </c>
      <c r="AU3" s="1257"/>
      <c r="AV3" s="1257"/>
      <c r="AW3" s="1257"/>
      <c r="AX3" s="1257"/>
      <c r="AY3" s="1257"/>
      <c r="AZ3" s="1974"/>
      <c r="BD3" s="185"/>
      <c r="BE3" s="185"/>
      <c r="BF3" s="185"/>
      <c r="BG3" s="185"/>
      <c r="BH3" s="185"/>
      <c r="BI3" s="185"/>
      <c r="BJ3" s="185"/>
      <c r="BK3" s="185"/>
      <c r="BL3" s="185"/>
      <c r="BM3" s="185"/>
      <c r="BN3" s="185"/>
    </row>
    <row r="4" spans="3:66" s="184" customFormat="1" ht="12" customHeight="1">
      <c r="C4" s="182"/>
      <c r="D4" s="182"/>
      <c r="E4" s="182"/>
      <c r="F4" s="182"/>
      <c r="G4" s="182"/>
      <c r="H4" s="182"/>
      <c r="I4" s="182"/>
      <c r="J4" s="182"/>
      <c r="K4" s="182"/>
      <c r="L4" s="182"/>
      <c r="M4" s="182"/>
      <c r="N4" s="182"/>
      <c r="O4" s="186"/>
      <c r="P4" s="186"/>
      <c r="Q4" s="186"/>
      <c r="R4" s="186"/>
      <c r="S4" s="186"/>
      <c r="T4" s="186"/>
      <c r="U4" s="186"/>
      <c r="V4" s="186"/>
      <c r="W4" s="186"/>
      <c r="X4" s="186"/>
      <c r="Y4" s="186"/>
      <c r="Z4" s="186"/>
      <c r="AA4" s="186"/>
      <c r="AB4" s="186"/>
      <c r="AC4" s="186"/>
      <c r="AD4" s="186"/>
      <c r="AE4" s="186"/>
      <c r="AF4" s="186"/>
      <c r="AG4" s="186"/>
      <c r="AH4" s="186"/>
      <c r="AI4" s="187"/>
      <c r="AJ4" s="187"/>
      <c r="AK4" s="1252"/>
      <c r="AL4" s="2199" t="s">
        <v>131</v>
      </c>
      <c r="AM4" s="2199"/>
      <c r="AN4" s="2199"/>
      <c r="AO4" s="2199"/>
      <c r="AP4" s="1262" t="s">
        <v>426</v>
      </c>
      <c r="AQ4" s="1264"/>
      <c r="AR4" s="1990"/>
      <c r="AS4" s="1991"/>
      <c r="AT4" s="1975" t="s">
        <v>131</v>
      </c>
      <c r="AU4" s="1976"/>
      <c r="AV4" s="1976"/>
      <c r="AW4" s="1977"/>
      <c r="AX4" s="1986" t="s">
        <v>132</v>
      </c>
      <c r="AY4" s="1986"/>
      <c r="AZ4" s="1987"/>
    </row>
    <row r="5" spans="3:66" s="184" customFormat="1" ht="12" customHeight="1">
      <c r="C5" s="182"/>
      <c r="D5" s="182"/>
      <c r="E5" s="182"/>
      <c r="F5" s="182"/>
      <c r="G5" s="182"/>
      <c r="H5" s="182"/>
      <c r="I5" s="182"/>
      <c r="J5" s="182"/>
      <c r="K5" s="182"/>
      <c r="L5" s="182"/>
      <c r="M5" s="182"/>
      <c r="N5" s="182"/>
      <c r="O5" s="186"/>
      <c r="P5" s="186"/>
      <c r="Q5" s="186"/>
      <c r="R5" s="186"/>
      <c r="S5" s="186"/>
      <c r="T5" s="186"/>
      <c r="U5" s="186"/>
      <c r="V5" s="186"/>
      <c r="W5" s="186"/>
      <c r="X5" s="186"/>
      <c r="Y5" s="186"/>
      <c r="Z5" s="186"/>
      <c r="AA5" s="186"/>
      <c r="AB5" s="186"/>
      <c r="AC5" s="186"/>
      <c r="AD5" s="186"/>
      <c r="AE5" s="186"/>
      <c r="AF5" s="186"/>
      <c r="AG5" s="186"/>
      <c r="AH5" s="186"/>
      <c r="AI5" s="187"/>
      <c r="AJ5" s="187"/>
      <c r="AK5" s="2197"/>
      <c r="AL5" s="2200" t="s">
        <v>466</v>
      </c>
      <c r="AM5" s="2201"/>
      <c r="AN5" s="2201"/>
      <c r="AO5" s="2201"/>
      <c r="AP5" s="2201"/>
      <c r="AQ5" s="2202"/>
      <c r="AR5" s="1992"/>
      <c r="AS5" s="1993"/>
      <c r="AT5" s="1978" t="s">
        <v>25</v>
      </c>
      <c r="AU5" s="1979"/>
      <c r="AV5" s="1979"/>
      <c r="AW5" s="1979"/>
      <c r="AX5" s="1979"/>
      <c r="AY5" s="1979"/>
      <c r="AZ5" s="1980"/>
    </row>
    <row r="6" spans="3:66" s="184" customFormat="1" ht="14.1" customHeight="1">
      <c r="C6" s="182"/>
      <c r="D6" s="182"/>
      <c r="E6" s="182"/>
      <c r="F6" s="182"/>
      <c r="G6" s="182"/>
      <c r="H6" s="182"/>
      <c r="I6" s="182"/>
      <c r="J6" s="182"/>
      <c r="K6" s="182"/>
      <c r="L6" s="182"/>
      <c r="M6" s="182"/>
      <c r="N6" s="182"/>
      <c r="O6" s="188"/>
      <c r="P6" s="188"/>
      <c r="Q6" s="188"/>
      <c r="R6" s="188"/>
      <c r="S6" s="188"/>
      <c r="T6" s="188"/>
      <c r="U6" s="188"/>
      <c r="V6" s="188"/>
      <c r="W6" s="188"/>
      <c r="X6" s="188"/>
      <c r="Y6" s="188"/>
      <c r="Z6" s="188"/>
      <c r="AA6" s="188"/>
      <c r="AB6" s="188"/>
      <c r="AC6" s="188"/>
      <c r="AD6" s="188"/>
      <c r="AE6" s="188"/>
      <c r="AF6" s="188"/>
      <c r="AG6" s="188"/>
      <c r="AH6" s="188"/>
      <c r="AI6" s="189"/>
      <c r="AJ6" s="189"/>
      <c r="AK6" s="10" t="s">
        <v>5</v>
      </c>
      <c r="AL6" s="2203" t="e">
        <f>IF(#REF!="","",+#REF!)</f>
        <v>#REF!</v>
      </c>
      <c r="AM6" s="2203"/>
      <c r="AN6" s="2203"/>
      <c r="AO6" s="638" t="s">
        <v>229</v>
      </c>
      <c r="AP6" s="423"/>
      <c r="AQ6" s="639"/>
      <c r="AR6" s="564" t="s">
        <v>5</v>
      </c>
      <c r="AS6" s="1984" t="e">
        <f>+AL6</f>
        <v>#REF!</v>
      </c>
      <c r="AT6" s="1984"/>
      <c r="AU6" s="1984"/>
      <c r="AV6" s="1984"/>
      <c r="AW6" s="1984"/>
      <c r="AX6" s="1983" t="s">
        <v>229</v>
      </c>
      <c r="AY6" s="1983"/>
      <c r="AZ6" s="218" t="s">
        <v>230</v>
      </c>
    </row>
    <row r="7" spans="3:66" s="184" customFormat="1" ht="14.1" customHeight="1">
      <c r="C7" s="182"/>
      <c r="D7" s="182"/>
      <c r="E7" s="182"/>
      <c r="F7" s="182"/>
      <c r="G7" s="182"/>
      <c r="H7" s="182"/>
      <c r="I7" s="182"/>
      <c r="J7" s="182"/>
      <c r="K7" s="182"/>
      <c r="L7" s="182"/>
      <c r="M7" s="182"/>
      <c r="N7" s="182"/>
      <c r="O7" s="188"/>
      <c r="P7" s="188"/>
      <c r="Q7" s="188"/>
      <c r="R7" s="188"/>
      <c r="S7" s="188"/>
      <c r="T7" s="188"/>
      <c r="U7" s="188"/>
      <c r="V7" s="188"/>
      <c r="W7" s="188"/>
      <c r="X7" s="188"/>
      <c r="Y7" s="188"/>
      <c r="Z7" s="188"/>
      <c r="AA7" s="188"/>
      <c r="AB7" s="188"/>
      <c r="AC7" s="188"/>
      <c r="AD7" s="188"/>
      <c r="AE7" s="188"/>
      <c r="AF7" s="188"/>
      <c r="AG7" s="188"/>
      <c r="AH7" s="188"/>
      <c r="AI7" s="189"/>
      <c r="AJ7" s="189"/>
      <c r="AK7" s="11" t="s">
        <v>133</v>
      </c>
      <c r="AL7" s="36" t="e">
        <f>IF(#REF!="","",+#REF!)</f>
        <v>#REF!</v>
      </c>
      <c r="AM7" s="37" t="s">
        <v>17</v>
      </c>
      <c r="AN7" s="642" t="e">
        <f>IF(#REF!="","",#REF!)</f>
        <v>#REF!</v>
      </c>
      <c r="AO7" s="643" t="s">
        <v>31</v>
      </c>
      <c r="AP7" s="643"/>
      <c r="AQ7" s="571" t="e">
        <f>IF(#REF!="","",+#REF!)</f>
        <v>#REF!</v>
      </c>
      <c r="AR7" s="564" t="s">
        <v>133</v>
      </c>
      <c r="AS7" s="1984" t="e">
        <f>+AL7</f>
        <v>#REF!</v>
      </c>
      <c r="AT7" s="1984"/>
      <c r="AU7" s="1984"/>
      <c r="AV7" s="1984"/>
      <c r="AW7" s="1984"/>
      <c r="AX7" s="1982" t="s">
        <v>18</v>
      </c>
      <c r="AY7" s="1982"/>
      <c r="AZ7" s="24" t="e">
        <f>+#REF!</f>
        <v>#REF!</v>
      </c>
    </row>
    <row r="8" spans="3:66" s="184" customFormat="1" ht="14.1" customHeight="1">
      <c r="C8" s="182"/>
      <c r="D8" s="182"/>
      <c r="E8" s="182"/>
      <c r="F8" s="182"/>
      <c r="G8" s="182"/>
      <c r="H8" s="182"/>
      <c r="I8" s="182"/>
      <c r="J8" s="182"/>
      <c r="K8" s="182"/>
      <c r="L8" s="182"/>
      <c r="M8" s="182"/>
      <c r="N8" s="182"/>
      <c r="O8" s="188"/>
      <c r="P8" s="188"/>
      <c r="Q8" s="188"/>
      <c r="R8" s="188"/>
      <c r="S8" s="188"/>
      <c r="T8" s="188"/>
      <c r="U8" s="188"/>
      <c r="V8" s="188"/>
      <c r="W8" s="188"/>
      <c r="X8" s="188"/>
      <c r="Y8" s="188"/>
      <c r="Z8" s="188"/>
      <c r="AA8" s="188"/>
      <c r="AB8" s="188"/>
      <c r="AC8" s="188"/>
      <c r="AD8" s="188"/>
      <c r="AE8" s="188"/>
      <c r="AF8" s="188"/>
      <c r="AG8" s="188"/>
      <c r="AH8" s="188"/>
      <c r="AI8" s="189"/>
      <c r="AJ8" s="189"/>
      <c r="AK8" s="11" t="s">
        <v>323</v>
      </c>
      <c r="AL8" s="724" t="e">
        <f>IF(#REF!="","",+#REF!)</f>
        <v>#REF!</v>
      </c>
      <c r="AM8" s="645" t="s">
        <v>18</v>
      </c>
      <c r="AN8" s="650" t="e">
        <f>IF(#REF!="","",#REF!)</f>
        <v>#REF!</v>
      </c>
      <c r="AO8" s="2205" t="s">
        <v>266</v>
      </c>
      <c r="AP8" s="2205"/>
      <c r="AQ8" s="626" t="e">
        <f>IF(#REF!="","",+#REF!)</f>
        <v>#REF!</v>
      </c>
      <c r="AR8" s="564" t="s">
        <v>6</v>
      </c>
      <c r="AS8" s="1984" t="e">
        <f>+AL8</f>
        <v>#REF!</v>
      </c>
      <c r="AT8" s="1984"/>
      <c r="AU8" s="1984"/>
      <c r="AV8" s="1984"/>
      <c r="AW8" s="1984"/>
      <c r="AX8" s="1982" t="s">
        <v>31</v>
      </c>
      <c r="AY8" s="1982"/>
      <c r="AZ8" s="25" t="e">
        <f>+AQ7</f>
        <v>#REF!</v>
      </c>
      <c r="BA8" s="190"/>
    </row>
    <row r="9" spans="3:66" s="184" customFormat="1" ht="14.1" customHeight="1">
      <c r="C9" s="182"/>
      <c r="D9" s="182"/>
      <c r="E9" s="182"/>
      <c r="F9" s="182"/>
      <c r="G9" s="182"/>
      <c r="H9" s="182"/>
      <c r="I9" s="182"/>
      <c r="J9" s="182"/>
      <c r="K9" s="182"/>
      <c r="L9" s="182"/>
      <c r="M9" s="182"/>
      <c r="N9" s="182"/>
      <c r="O9" s="188"/>
      <c r="P9" s="188"/>
      <c r="Q9" s="188"/>
      <c r="R9" s="188"/>
      <c r="S9" s="188"/>
      <c r="T9" s="188"/>
      <c r="U9" s="188"/>
      <c r="V9" s="188"/>
      <c r="W9" s="188"/>
      <c r="X9" s="188"/>
      <c r="Y9" s="188"/>
      <c r="Z9" s="188"/>
      <c r="AA9" s="188"/>
      <c r="AB9" s="188"/>
      <c r="AC9" s="188"/>
      <c r="AD9" s="188"/>
      <c r="AE9" s="188"/>
      <c r="AF9" s="188"/>
      <c r="AG9" s="188"/>
      <c r="AH9" s="188"/>
      <c r="AI9" s="189"/>
      <c r="AJ9" s="189"/>
      <c r="AK9" s="15" t="s">
        <v>6</v>
      </c>
      <c r="AL9" s="2204" t="e">
        <f>IF(#REF!="","",+#REF!)</f>
        <v>#REF!</v>
      </c>
      <c r="AM9" s="2204"/>
      <c r="AN9" s="2204"/>
      <c r="AO9" s="653" t="s">
        <v>462</v>
      </c>
      <c r="AP9" s="654"/>
      <c r="AQ9" s="571" t="e">
        <f>IF(#REF!="","",+#REF!)</f>
        <v>#REF!</v>
      </c>
      <c r="AR9" s="568" t="s">
        <v>17</v>
      </c>
      <c r="AS9" s="1985" t="e">
        <f>+AL9</f>
        <v>#REF!</v>
      </c>
      <c r="AT9" s="1985"/>
      <c r="AU9" s="1985"/>
      <c r="AV9" s="1985"/>
      <c r="AW9" s="1985"/>
      <c r="AX9" s="1981" t="s">
        <v>266</v>
      </c>
      <c r="AY9" s="1981"/>
      <c r="AZ9" s="460" t="e">
        <f>+AQ8</f>
        <v>#REF!</v>
      </c>
    </row>
    <row r="10" spans="3:66" s="184" customFormat="1" ht="33" customHeight="1">
      <c r="AK10" s="17" t="s">
        <v>134</v>
      </c>
      <c r="AL10" s="603" t="str">
        <f>IF(K38="","",K38)</f>
        <v/>
      </c>
      <c r="AM10" s="18" t="s">
        <v>135</v>
      </c>
      <c r="AN10" s="603" t="str">
        <f>IF(Z38="","",Z38)</f>
        <v/>
      </c>
      <c r="AO10" s="2193" t="s">
        <v>136</v>
      </c>
      <c r="AP10" s="2194"/>
      <c r="AQ10" s="604" t="e">
        <f>IF(R38="","",R38)</f>
        <v>#REF!</v>
      </c>
      <c r="AR10" s="1675" t="s">
        <v>137</v>
      </c>
      <c r="AS10" s="1675"/>
      <c r="AT10" s="1675"/>
      <c r="AU10" s="1675"/>
      <c r="AV10" s="1675"/>
      <c r="AW10" s="23">
        <v>1</v>
      </c>
      <c r="AX10" s="302">
        <v>2</v>
      </c>
      <c r="AY10" s="303"/>
      <c r="AZ10" s="304">
        <v>3</v>
      </c>
    </row>
    <row r="11" spans="3:66" s="184" customFormat="1" ht="12" customHeight="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2"/>
      <c r="AJ11" s="192"/>
      <c r="AK11" s="16" t="s">
        <v>304</v>
      </c>
      <c r="AL11" s="2195">
        <v>1</v>
      </c>
      <c r="AM11" s="2196"/>
      <c r="AN11" s="2195">
        <v>2</v>
      </c>
      <c r="AO11" s="2196"/>
      <c r="AP11" s="2195">
        <v>3</v>
      </c>
      <c r="AQ11" s="2196"/>
      <c r="AR11" s="2032" t="s">
        <v>308</v>
      </c>
      <c r="AS11" s="2032"/>
      <c r="AT11" s="374"/>
      <c r="AU11" s="2007" t="s">
        <v>289</v>
      </c>
      <c r="AV11" s="2008"/>
      <c r="AW11" s="305" t="str">
        <f>IF(AL12="","",(AL12*$M$21*$M$19*$M20/R26))</f>
        <v/>
      </c>
      <c r="AX11" s="306" t="str">
        <f>IF(AN12="","",(AN12*$M$21*$M$19*$M20/W26))</f>
        <v/>
      </c>
      <c r="AY11" s="307"/>
      <c r="AZ11" s="308" t="str">
        <f>IF(AP12="","",(AP12*$M$21*$M$19*$M20/AB26))</f>
        <v/>
      </c>
    </row>
    <row r="12" spans="3:66" s="184" customFormat="1" ht="12" customHeight="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2"/>
      <c r="AJ12" s="192"/>
      <c r="AK12" s="14" t="s">
        <v>303</v>
      </c>
      <c r="AL12" s="2189" t="str">
        <f>IF(R29="","",R29)</f>
        <v/>
      </c>
      <c r="AM12" s="2190"/>
      <c r="AN12" s="2189" t="str">
        <f>IF(W29="","",W29)</f>
        <v/>
      </c>
      <c r="AO12" s="2190"/>
      <c r="AP12" s="2189" t="str">
        <f>IF(AB29="","",AB29)</f>
        <v/>
      </c>
      <c r="AQ12" s="2190"/>
      <c r="AR12" s="1695" t="s">
        <v>138</v>
      </c>
      <c r="AS12" s="1695"/>
      <c r="AT12" s="366"/>
      <c r="AU12" s="273" t="s">
        <v>333</v>
      </c>
      <c r="AV12" s="274" t="s">
        <v>82</v>
      </c>
      <c r="AW12" s="357" t="str">
        <f>IF(R30="","",R30)</f>
        <v/>
      </c>
      <c r="AX12" s="358" t="str">
        <f>IF(W30="","",W30)</f>
        <v/>
      </c>
      <c r="AY12" s="359"/>
      <c r="AZ12" s="352" t="str">
        <f>IF(AB30="","",AB30)</f>
        <v/>
      </c>
    </row>
    <row r="13" spans="3:66" s="184" customFormat="1" ht="12" customHeight="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2"/>
      <c r="AJ13" s="192"/>
      <c r="AK13" s="14" t="s">
        <v>139</v>
      </c>
      <c r="AL13" s="2191" t="str">
        <f>IF(OR(R37="", R36=""),"",(R37-R36)/(116.43)*100)</f>
        <v/>
      </c>
      <c r="AM13" s="2192"/>
      <c r="AN13" s="2191" t="str">
        <f>IF(OR(W37="",W36=""),"",(W37-W36)/(116.43)*100)</f>
        <v/>
      </c>
      <c r="AO13" s="2192"/>
      <c r="AP13" s="2191" t="str">
        <f>IF(OR(AB37="",AB36=""),"",(AB37-AB36)/(116.43)*100)</f>
        <v/>
      </c>
      <c r="AQ13" s="2192"/>
      <c r="AR13" s="2031" t="s">
        <v>140</v>
      </c>
      <c r="AS13" s="2031"/>
      <c r="AT13" s="373"/>
      <c r="AU13" s="275" t="s">
        <v>334</v>
      </c>
      <c r="AV13" s="21" t="s">
        <v>82</v>
      </c>
      <c r="AW13" s="360" t="str">
        <f>IF(R25="","",R25)</f>
        <v/>
      </c>
      <c r="AX13" s="350" t="str">
        <f>IF(W25="","",W25)</f>
        <v/>
      </c>
      <c r="AY13" s="351"/>
      <c r="AZ13" s="352" t="str">
        <f>IF(AB25="","",AB25)</f>
        <v/>
      </c>
    </row>
    <row r="14" spans="3:66" s="184" customFormat="1" ht="12" customHeight="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c r="AD14" s="191"/>
      <c r="AE14" s="191"/>
      <c r="AF14" s="191"/>
      <c r="AG14" s="191"/>
      <c r="AH14" s="191"/>
      <c r="AI14" s="192"/>
      <c r="AJ14" s="192"/>
      <c r="AK14" s="2040" t="s">
        <v>330</v>
      </c>
      <c r="AL14" s="2038" t="s">
        <v>442</v>
      </c>
      <c r="AM14" s="2036" t="s">
        <v>443</v>
      </c>
      <c r="AN14" s="2038" t="s">
        <v>442</v>
      </c>
      <c r="AO14" s="2036" t="s">
        <v>443</v>
      </c>
      <c r="AP14" s="2038" t="s">
        <v>442</v>
      </c>
      <c r="AQ14" s="2036" t="s">
        <v>443</v>
      </c>
      <c r="AR14" s="2031" t="s">
        <v>141</v>
      </c>
      <c r="AS14" s="2031"/>
      <c r="AT14" s="373"/>
      <c r="AU14" s="276" t="s">
        <v>292</v>
      </c>
      <c r="AV14" s="276" t="s">
        <v>82</v>
      </c>
      <c r="AW14" s="361" t="str">
        <f>IF(OR(AW12="",AW13=""),"",AW12-AW13)</f>
        <v/>
      </c>
      <c r="AX14" s="358" t="str">
        <f>IF(OR(AX12="",AX13=""),"",AX12-AX13)</f>
        <v/>
      </c>
      <c r="AY14" s="359"/>
      <c r="AZ14" s="352" t="str">
        <f>IF(OR(AZ12="",AZ13=""),"",AZ12-AZ13)</f>
        <v/>
      </c>
      <c r="BA14" s="193"/>
    </row>
    <row r="15" spans="3:66" s="184" customFormat="1" ht="12" customHeight="1">
      <c r="C15" s="191"/>
      <c r="D15" s="191"/>
      <c r="E15" s="191"/>
      <c r="F15" s="191"/>
      <c r="G15" s="191"/>
      <c r="H15" s="191"/>
      <c r="I15" s="191"/>
      <c r="J15" s="191"/>
      <c r="K15" s="191"/>
      <c r="L15" s="191"/>
      <c r="M15" s="191"/>
      <c r="N15" s="191"/>
      <c r="O15" s="191"/>
      <c r="P15" s="191"/>
      <c r="Q15" s="191"/>
      <c r="R15" s="191"/>
      <c r="S15" s="191"/>
      <c r="T15" s="191"/>
      <c r="U15" s="191"/>
      <c r="V15" s="191"/>
      <c r="W15" s="191"/>
      <c r="X15" s="191"/>
      <c r="Y15" s="191"/>
      <c r="Z15" s="191"/>
      <c r="AA15" s="191"/>
      <c r="AB15" s="191"/>
      <c r="AC15" s="191"/>
      <c r="AD15" s="191"/>
      <c r="AE15" s="191"/>
      <c r="AF15" s="191"/>
      <c r="AG15" s="191"/>
      <c r="AH15" s="191"/>
      <c r="AI15" s="192"/>
      <c r="AJ15" s="192"/>
      <c r="AK15" s="2041"/>
      <c r="AL15" s="2039"/>
      <c r="AM15" s="2037"/>
      <c r="AN15" s="2039"/>
      <c r="AO15" s="2037"/>
      <c r="AP15" s="2039"/>
      <c r="AQ15" s="2037"/>
      <c r="AR15" s="2031" t="s">
        <v>142</v>
      </c>
      <c r="AS15" s="2031"/>
      <c r="AT15" s="373"/>
      <c r="AU15" s="275" t="s">
        <v>341</v>
      </c>
      <c r="AV15" s="276" t="s">
        <v>143</v>
      </c>
      <c r="AW15" s="312" t="str">
        <f>IF(R26="","",R26)</f>
        <v/>
      </c>
      <c r="AX15" s="310" t="str">
        <f>IF(W26="","",W26)</f>
        <v/>
      </c>
      <c r="AY15" s="311"/>
      <c r="AZ15" s="313" t="str">
        <f>IF(AB26="","",AB26)</f>
        <v/>
      </c>
      <c r="BA15" s="194"/>
      <c r="BB15" s="193"/>
    </row>
    <row r="16" spans="3:66" s="184" customFormat="1" ht="11.1" customHeight="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2"/>
      <c r="AJ16" s="192"/>
      <c r="AK16" s="59">
        <v>0</v>
      </c>
      <c r="AL16" s="12" t="str">
        <f>IF(R41="","",224.808*R41)</f>
        <v/>
      </c>
      <c r="AM16" s="13" t="str">
        <f>+IF(AL16="","",AL16/3)</f>
        <v/>
      </c>
      <c r="AN16" s="12" t="str">
        <f>IF(W41="","",224.808*W41)</f>
        <v/>
      </c>
      <c r="AO16" s="13" t="str">
        <f>+IF(AN16="","",AN16/3)</f>
        <v/>
      </c>
      <c r="AP16" s="12" t="str">
        <f>IF(AB41="","",224.808*AB41)</f>
        <v/>
      </c>
      <c r="AQ16" s="13" t="str">
        <f>+IF(AP16="","",AP16/3)</f>
        <v/>
      </c>
      <c r="AR16" s="2031" t="s">
        <v>144</v>
      </c>
      <c r="AS16" s="2031"/>
      <c r="AT16" s="373"/>
      <c r="AU16" s="275" t="s">
        <v>342</v>
      </c>
      <c r="AV16" s="276" t="s">
        <v>82</v>
      </c>
      <c r="AW16" s="309" t="str">
        <f>IF(AW14="","",AW14/(1+AW24%))</f>
        <v/>
      </c>
      <c r="AX16" s="310" t="str">
        <f>IF(AX14="","",AX14/(1+AX24%))</f>
        <v/>
      </c>
      <c r="AY16" s="311"/>
      <c r="AZ16" s="313" t="str">
        <f>IF(AZ14="","",AZ14/(1+AZ24%))</f>
        <v/>
      </c>
      <c r="BA16" s="195" t="e">
        <f>+((AW12-AW13)/(1+AW24%))</f>
        <v>#VALUE!</v>
      </c>
      <c r="BB16" s="193"/>
    </row>
    <row r="17" spans="3:54" s="184" customFormat="1" ht="11.1" customHeight="1">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2"/>
      <c r="AJ17" s="192"/>
      <c r="AK17" s="59">
        <f t="shared" ref="AK17:AK27" si="0">+K42</f>
        <v>2.5000000000000001E-2</v>
      </c>
      <c r="AL17" s="12" t="str">
        <f t="shared" ref="AL17:AL27" si="1">IF(R42="","",224.808*R42)</f>
        <v/>
      </c>
      <c r="AM17" s="13" t="str">
        <f t="shared" ref="AM17:AM27" si="2">+IF(AL17="","",AL17/3)</f>
        <v/>
      </c>
      <c r="AN17" s="12" t="str">
        <f t="shared" ref="AN17:AN27" si="3">IF(W42="","",224.808*W42)</f>
        <v/>
      </c>
      <c r="AO17" s="13" t="str">
        <f t="shared" ref="AO17:AO27" si="4">+IF(AN17="","",AN17/3)</f>
        <v/>
      </c>
      <c r="AP17" s="12" t="str">
        <f t="shared" ref="AP17:AP27" si="5">IF(AB42="","",224.808*AB42)</f>
        <v/>
      </c>
      <c r="AQ17" s="13" t="str">
        <f t="shared" ref="AQ17:AQ27" si="6">+IF(AP17="","",AP17/3)</f>
        <v/>
      </c>
      <c r="AR17" s="2033" t="s">
        <v>307</v>
      </c>
      <c r="AS17" s="2033"/>
      <c r="AT17" s="375"/>
      <c r="AU17" s="277" t="s">
        <v>332</v>
      </c>
      <c r="AV17" s="278" t="s">
        <v>145</v>
      </c>
      <c r="AW17" s="314" t="str">
        <f>IF(AW14="","",AW14*1000/AW15)</f>
        <v/>
      </c>
      <c r="AX17" s="315" t="str">
        <f>IF(AX14="","",AX14*1000/AX15)</f>
        <v/>
      </c>
      <c r="AY17" s="316"/>
      <c r="AZ17" s="317" t="str">
        <f>IF(AZ14="","",AZ14*1000/AZ15)</f>
        <v/>
      </c>
      <c r="BA17" s="193" t="e">
        <f>+(AW16*1000)/AW15</f>
        <v>#VALUE!</v>
      </c>
      <c r="BB17" s="193"/>
    </row>
    <row r="18" spans="3:54" s="184" customFormat="1" ht="11.1" customHeight="1">
      <c r="C18" s="191"/>
      <c r="D18" s="191"/>
      <c r="E18" s="191"/>
      <c r="F18" s="191"/>
      <c r="G18" s="191"/>
      <c r="H18" s="191"/>
      <c r="I18" s="191"/>
      <c r="J18" s="191"/>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2"/>
      <c r="AJ18" s="192"/>
      <c r="AK18" s="59">
        <f t="shared" si="0"/>
        <v>0.05</v>
      </c>
      <c r="AL18" s="12" t="str">
        <f t="shared" si="1"/>
        <v/>
      </c>
      <c r="AM18" s="13" t="str">
        <f t="shared" si="2"/>
        <v/>
      </c>
      <c r="AN18" s="12" t="str">
        <f t="shared" si="3"/>
        <v/>
      </c>
      <c r="AO18" s="13" t="str">
        <f t="shared" si="4"/>
        <v/>
      </c>
      <c r="AP18" s="12" t="str">
        <f t="shared" si="5"/>
        <v/>
      </c>
      <c r="AQ18" s="13" t="str">
        <f t="shared" si="6"/>
        <v/>
      </c>
      <c r="AR18" s="2026" t="s">
        <v>146</v>
      </c>
      <c r="AS18" s="2026"/>
      <c r="AT18" s="2026"/>
      <c r="AU18" s="2026"/>
      <c r="AV18" s="2026"/>
      <c r="AW18" s="2026"/>
      <c r="AX18" s="2026"/>
      <c r="AY18" s="2026"/>
      <c r="AZ18" s="2027"/>
    </row>
    <row r="19" spans="3:54" s="184" customFormat="1" ht="11.1" customHeight="1">
      <c r="C19" s="191"/>
      <c r="D19" s="191"/>
      <c r="E19" s="191" t="s">
        <v>446</v>
      </c>
      <c r="F19" s="191"/>
      <c r="G19" s="191"/>
      <c r="H19" s="191"/>
      <c r="I19" s="191"/>
      <c r="J19" s="191"/>
      <c r="K19" s="191"/>
      <c r="L19" s="191"/>
      <c r="M19" s="191">
        <v>4.5359999999999996</v>
      </c>
      <c r="N19" s="191"/>
      <c r="O19" s="191"/>
      <c r="P19" s="191"/>
      <c r="Q19" s="191"/>
      <c r="R19" s="191"/>
      <c r="S19" s="191"/>
      <c r="T19" s="191"/>
      <c r="U19" s="191"/>
      <c r="V19" s="191"/>
      <c r="W19" s="191"/>
      <c r="X19" s="191"/>
      <c r="Y19" s="191"/>
      <c r="Z19" s="191"/>
      <c r="AA19" s="191"/>
      <c r="AB19" s="191"/>
      <c r="AC19" s="191"/>
      <c r="AD19" s="191"/>
      <c r="AE19" s="191"/>
      <c r="AF19" s="191"/>
      <c r="AG19" s="191"/>
      <c r="AH19" s="191"/>
      <c r="AI19" s="192"/>
      <c r="AJ19" s="192"/>
      <c r="AK19" s="59">
        <f t="shared" si="0"/>
        <v>7.4999999999999997E-2</v>
      </c>
      <c r="AL19" s="12" t="str">
        <f t="shared" si="1"/>
        <v/>
      </c>
      <c r="AM19" s="13" t="str">
        <f t="shared" si="2"/>
        <v/>
      </c>
      <c r="AN19" s="12" t="str">
        <f t="shared" si="3"/>
        <v/>
      </c>
      <c r="AO19" s="13" t="str">
        <f t="shared" si="4"/>
        <v/>
      </c>
      <c r="AP19" s="12" t="str">
        <f t="shared" si="5"/>
        <v/>
      </c>
      <c r="AQ19" s="13" t="str">
        <f t="shared" si="6"/>
        <v/>
      </c>
      <c r="AR19" s="2030" t="s">
        <v>148</v>
      </c>
      <c r="AS19" s="2030"/>
      <c r="AT19" s="372"/>
      <c r="AU19" s="279" t="s">
        <v>338</v>
      </c>
      <c r="AV19" s="280" t="s">
        <v>82</v>
      </c>
      <c r="AW19" s="345" t="str">
        <f>IF(R32="","",R32)</f>
        <v/>
      </c>
      <c r="AX19" s="346" t="str">
        <f>IF(W32="","",W32)</f>
        <v/>
      </c>
      <c r="AY19" s="347"/>
      <c r="AZ19" s="348" t="str">
        <f>IF(AB32="","",AB32)</f>
        <v/>
      </c>
    </row>
    <row r="20" spans="3:54" ht="11.1" customHeight="1">
      <c r="C20" s="196"/>
      <c r="D20" s="196"/>
      <c r="E20" s="478" t="s">
        <v>147</v>
      </c>
      <c r="F20" s="478"/>
      <c r="G20" s="478"/>
      <c r="H20" s="478"/>
      <c r="I20" s="478"/>
      <c r="J20" s="478"/>
      <c r="K20" s="478"/>
      <c r="L20" s="196"/>
      <c r="M20" s="196">
        <v>45.72</v>
      </c>
      <c r="N20" s="196"/>
      <c r="O20" s="196"/>
      <c r="P20" s="196"/>
      <c r="Q20" s="196"/>
      <c r="R20" s="196"/>
      <c r="S20" s="196"/>
      <c r="T20" s="196"/>
      <c r="U20" s="196"/>
      <c r="V20" s="196"/>
      <c r="W20" s="196"/>
      <c r="X20" s="196"/>
      <c r="Y20" s="196"/>
      <c r="Z20" s="196"/>
      <c r="AA20" s="196"/>
      <c r="AB20" s="196"/>
      <c r="AC20" s="196"/>
      <c r="AD20" s="196"/>
      <c r="AE20" s="196"/>
      <c r="AF20" s="196"/>
      <c r="AG20" s="196"/>
      <c r="AH20" s="196"/>
      <c r="AI20" s="197"/>
      <c r="AJ20" s="198"/>
      <c r="AK20" s="59">
        <f t="shared" si="0"/>
        <v>0.1</v>
      </c>
      <c r="AL20" s="12" t="str">
        <f t="shared" si="1"/>
        <v/>
      </c>
      <c r="AM20" s="13" t="str">
        <f t="shared" si="2"/>
        <v/>
      </c>
      <c r="AN20" s="12" t="str">
        <f t="shared" si="3"/>
        <v/>
      </c>
      <c r="AO20" s="13" t="str">
        <f t="shared" si="4"/>
        <v/>
      </c>
      <c r="AP20" s="12" t="str">
        <f t="shared" si="5"/>
        <v/>
      </c>
      <c r="AQ20" s="13" t="str">
        <f t="shared" si="6"/>
        <v/>
      </c>
      <c r="AR20" s="2031" t="s">
        <v>150</v>
      </c>
      <c r="AS20" s="2031"/>
      <c r="AT20" s="373"/>
      <c r="AU20" s="275" t="s">
        <v>339</v>
      </c>
      <c r="AV20" s="281" t="s">
        <v>82</v>
      </c>
      <c r="AW20" s="349" t="str">
        <f>IF(R33="","",R33)</f>
        <v/>
      </c>
      <c r="AX20" s="350" t="str">
        <f>IF(W33="","",W33)</f>
        <v/>
      </c>
      <c r="AY20" s="351"/>
      <c r="AZ20" s="352" t="str">
        <f>IF(AB33="","",AB33)</f>
        <v/>
      </c>
    </row>
    <row r="21" spans="3:54" s="162" customFormat="1" ht="11.1" customHeight="1">
      <c r="C21" s="199"/>
      <c r="D21" s="199"/>
      <c r="E21" s="479" t="s">
        <v>149</v>
      </c>
      <c r="F21" s="479"/>
      <c r="G21" s="479"/>
      <c r="H21" s="479"/>
      <c r="I21" s="479"/>
      <c r="J21" s="479"/>
      <c r="K21" s="479"/>
      <c r="L21" s="199"/>
      <c r="M21" s="199">
        <v>5</v>
      </c>
      <c r="N21" s="199"/>
      <c r="O21" s="199"/>
      <c r="P21" s="199"/>
      <c r="Q21" s="199"/>
      <c r="R21" s="199"/>
      <c r="S21" s="199"/>
      <c r="T21" s="199"/>
      <c r="U21" s="199"/>
      <c r="V21" s="199"/>
      <c r="W21" s="199"/>
      <c r="X21" s="199"/>
      <c r="Y21" s="199"/>
      <c r="Z21" s="199"/>
      <c r="AA21" s="199"/>
      <c r="AB21" s="199"/>
      <c r="AC21" s="199"/>
      <c r="AD21" s="199"/>
      <c r="AE21" s="199"/>
      <c r="AF21" s="199"/>
      <c r="AG21" s="199"/>
      <c r="AH21" s="199"/>
      <c r="AI21" s="200"/>
      <c r="AJ21" s="201"/>
      <c r="AK21" s="59">
        <f t="shared" si="0"/>
        <v>0.125</v>
      </c>
      <c r="AL21" s="12" t="str">
        <f t="shared" si="1"/>
        <v/>
      </c>
      <c r="AM21" s="13" t="str">
        <f t="shared" si="2"/>
        <v/>
      </c>
      <c r="AN21" s="12" t="str">
        <f t="shared" si="3"/>
        <v/>
      </c>
      <c r="AO21" s="13" t="str">
        <f t="shared" si="4"/>
        <v/>
      </c>
      <c r="AP21" s="12" t="str">
        <f t="shared" si="5"/>
        <v/>
      </c>
      <c r="AQ21" s="13" t="str">
        <f t="shared" si="6"/>
        <v/>
      </c>
      <c r="AR21" s="2031" t="s">
        <v>151</v>
      </c>
      <c r="AS21" s="2031"/>
      <c r="AT21" s="373"/>
      <c r="AU21" s="275" t="s">
        <v>336</v>
      </c>
      <c r="AV21" s="281" t="s">
        <v>82</v>
      </c>
      <c r="AW21" s="353" t="str">
        <f>IF(OR(AW19="",AW20=""),"",AW19-AW20)</f>
        <v/>
      </c>
      <c r="AX21" s="354" t="str">
        <f>IF(AX19="","",AX19-AX20)</f>
        <v/>
      </c>
      <c r="AY21" s="355"/>
      <c r="AZ21" s="356" t="str">
        <f>IF(AZ19="","",AZ19-AZ20)</f>
        <v/>
      </c>
      <c r="BA21" s="202"/>
    </row>
    <row r="22" spans="3:54" s="206" customFormat="1" ht="11.1" customHeight="1">
      <c r="C22" s="203"/>
      <c r="D22" s="203"/>
      <c r="E22" s="480"/>
      <c r="F22" s="480"/>
      <c r="G22" s="480"/>
      <c r="H22" s="480"/>
      <c r="I22" s="480"/>
      <c r="J22" s="480"/>
      <c r="K22" s="480"/>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4"/>
      <c r="AJ22" s="205"/>
      <c r="AK22" s="59">
        <f t="shared" si="0"/>
        <v>0.15</v>
      </c>
      <c r="AL22" s="12" t="str">
        <f t="shared" si="1"/>
        <v/>
      </c>
      <c r="AM22" s="13" t="str">
        <f t="shared" si="2"/>
        <v/>
      </c>
      <c r="AN22" s="12" t="str">
        <f t="shared" si="3"/>
        <v/>
      </c>
      <c r="AO22" s="13" t="str">
        <f t="shared" si="4"/>
        <v/>
      </c>
      <c r="AP22" s="12" t="str">
        <f t="shared" si="5"/>
        <v/>
      </c>
      <c r="AQ22" s="13" t="str">
        <f t="shared" si="6"/>
        <v/>
      </c>
      <c r="AR22" s="2031" t="s">
        <v>152</v>
      </c>
      <c r="AS22" s="2031"/>
      <c r="AT22" s="373"/>
      <c r="AU22" s="275" t="s">
        <v>340</v>
      </c>
      <c r="AV22" s="281" t="s">
        <v>82</v>
      </c>
      <c r="AW22" s="353" t="str">
        <f>IF(R34="","",R34)</f>
        <v/>
      </c>
      <c r="AX22" s="354" t="str">
        <f>IF(W34="","",W34)</f>
        <v/>
      </c>
      <c r="AY22" s="355"/>
      <c r="AZ22" s="356" t="str">
        <f>IF(AB34="","",AB34)</f>
        <v/>
      </c>
    </row>
    <row r="23" spans="3:54" ht="11.1" customHeight="1">
      <c r="E23" s="478"/>
      <c r="F23" s="379"/>
      <c r="G23" s="379"/>
      <c r="H23" s="379"/>
      <c r="I23" s="379"/>
      <c r="J23" s="379"/>
      <c r="K23" s="379"/>
      <c r="AB23" s="146"/>
      <c r="AC23" s="146"/>
      <c r="AD23" s="146"/>
      <c r="AE23" s="146"/>
      <c r="AF23" s="146"/>
      <c r="AG23" s="154"/>
      <c r="AH23" s="154"/>
      <c r="AI23" s="146"/>
      <c r="AJ23" s="208"/>
      <c r="AK23" s="59">
        <f t="shared" si="0"/>
        <v>0.17499999999999999</v>
      </c>
      <c r="AL23" s="12" t="str">
        <f t="shared" si="1"/>
        <v/>
      </c>
      <c r="AM23" s="13" t="str">
        <f t="shared" si="2"/>
        <v/>
      </c>
      <c r="AN23" s="12" t="str">
        <f t="shared" si="3"/>
        <v/>
      </c>
      <c r="AO23" s="13" t="str">
        <f t="shared" si="4"/>
        <v/>
      </c>
      <c r="AP23" s="12" t="str">
        <f t="shared" si="5"/>
        <v/>
      </c>
      <c r="AQ23" s="13" t="str">
        <f t="shared" si="6"/>
        <v/>
      </c>
      <c r="AR23" s="2031" t="s">
        <v>155</v>
      </c>
      <c r="AS23" s="2031"/>
      <c r="AT23" s="373"/>
      <c r="AU23" s="275" t="s">
        <v>337</v>
      </c>
      <c r="AV23" s="281" t="s">
        <v>82</v>
      </c>
      <c r="AW23" s="353" t="str">
        <f>IF(AW20="","",AW20-AW22)</f>
        <v/>
      </c>
      <c r="AX23" s="354" t="str">
        <f>IF(AX20="","",AX20-AX22)</f>
        <v/>
      </c>
      <c r="AY23" s="355"/>
      <c r="AZ23" s="356" t="str">
        <f>IF(AZ20="","",AZ20-AZ22)</f>
        <v/>
      </c>
      <c r="BA23" s="140"/>
    </row>
    <row r="24" spans="3:54" ht="11.1" customHeight="1">
      <c r="E24" s="481" t="s">
        <v>153</v>
      </c>
      <c r="F24" s="482"/>
      <c r="G24" s="482"/>
      <c r="H24" s="482"/>
      <c r="I24" s="482"/>
      <c r="J24" s="482"/>
      <c r="K24" s="482"/>
      <c r="L24" s="482"/>
      <c r="M24" s="482"/>
      <c r="N24" s="482"/>
      <c r="O24" s="482"/>
      <c r="P24" s="482"/>
      <c r="Q24" s="482"/>
      <c r="R24" s="2185" t="s">
        <v>154</v>
      </c>
      <c r="S24" s="2186"/>
      <c r="T24" s="2186"/>
      <c r="U24" s="2186"/>
      <c r="V24" s="2186"/>
      <c r="W24" s="2186"/>
      <c r="X24" s="2186"/>
      <c r="Y24" s="2186"/>
      <c r="Z24" s="2186"/>
      <c r="AA24" s="2186"/>
      <c r="AB24" s="2186"/>
      <c r="AC24" s="2186"/>
      <c r="AD24" s="2186"/>
      <c r="AE24" s="2186"/>
      <c r="AF24" s="2187"/>
      <c r="AI24" s="207"/>
      <c r="AK24" s="59">
        <f t="shared" si="0"/>
        <v>0.2</v>
      </c>
      <c r="AL24" s="12" t="str">
        <f t="shared" si="1"/>
        <v/>
      </c>
      <c r="AM24" s="13" t="str">
        <f t="shared" si="2"/>
        <v/>
      </c>
      <c r="AN24" s="12" t="str">
        <f t="shared" si="3"/>
        <v/>
      </c>
      <c r="AO24" s="13" t="str">
        <f t="shared" si="4"/>
        <v/>
      </c>
      <c r="AP24" s="12" t="str">
        <f t="shared" si="5"/>
        <v/>
      </c>
      <c r="AQ24" s="13" t="str">
        <f t="shared" si="6"/>
        <v/>
      </c>
      <c r="AR24" s="1546" t="s">
        <v>306</v>
      </c>
      <c r="AS24" s="1546"/>
      <c r="AT24" s="367"/>
      <c r="AU24" s="282" t="s">
        <v>335</v>
      </c>
      <c r="AV24" s="283" t="s">
        <v>86</v>
      </c>
      <c r="AW24" s="362" t="str">
        <f>IF(AW21="","",(AW21/AW23)*100)</f>
        <v/>
      </c>
      <c r="AX24" s="363" t="str">
        <f>IF(AX21="","",(AX21/AX23)*100)</f>
        <v/>
      </c>
      <c r="AY24" s="364"/>
      <c r="AZ24" s="365" t="str">
        <f>IF(AZ21="","",(AZ21/AZ23)*100)</f>
        <v/>
      </c>
      <c r="BA24" s="140"/>
    </row>
    <row r="25" spans="3:54" ht="11.1" customHeight="1">
      <c r="E25" s="483" t="s">
        <v>156</v>
      </c>
      <c r="F25" s="484"/>
      <c r="G25" s="484"/>
      <c r="H25" s="484"/>
      <c r="I25" s="484"/>
      <c r="J25" s="484"/>
      <c r="K25" s="484"/>
      <c r="L25" s="484"/>
      <c r="M25" s="484"/>
      <c r="N25" s="484"/>
      <c r="O25" s="485"/>
      <c r="P25" s="2188" t="s">
        <v>82</v>
      </c>
      <c r="Q25" s="2188"/>
      <c r="R25" s="2144"/>
      <c r="S25" s="2145"/>
      <c r="T25" s="2145"/>
      <c r="U25" s="2145"/>
      <c r="V25" s="2146"/>
      <c r="W25" s="2147"/>
      <c r="X25" s="2145"/>
      <c r="Y25" s="2145"/>
      <c r="Z25" s="2145"/>
      <c r="AA25" s="2146"/>
      <c r="AB25" s="2147"/>
      <c r="AC25" s="2145"/>
      <c r="AD25" s="2145"/>
      <c r="AE25" s="2145"/>
      <c r="AF25" s="2148"/>
      <c r="AK25" s="59">
        <f t="shared" si="0"/>
        <v>0.3</v>
      </c>
      <c r="AL25" s="12" t="str">
        <f t="shared" si="1"/>
        <v/>
      </c>
      <c r="AM25" s="13" t="str">
        <f t="shared" si="2"/>
        <v/>
      </c>
      <c r="AN25" s="12" t="str">
        <f t="shared" si="3"/>
        <v/>
      </c>
      <c r="AO25" s="13" t="str">
        <f t="shared" si="4"/>
        <v/>
      </c>
      <c r="AP25" s="12" t="str">
        <f t="shared" si="5"/>
        <v/>
      </c>
      <c r="AQ25" s="13" t="str">
        <f t="shared" si="6"/>
        <v/>
      </c>
      <c r="AR25" s="2028" t="s">
        <v>159</v>
      </c>
      <c r="AS25" s="2028"/>
      <c r="AT25" s="2028"/>
      <c r="AU25" s="2028"/>
      <c r="AV25" s="2028"/>
      <c r="AW25" s="2028"/>
      <c r="AX25" s="2028"/>
      <c r="AY25" s="2028"/>
      <c r="AZ25" s="2029"/>
      <c r="BA25" s="140"/>
    </row>
    <row r="26" spans="3:54" ht="11.1" customHeight="1">
      <c r="E26" s="486" t="s">
        <v>157</v>
      </c>
      <c r="F26" s="487"/>
      <c r="G26" s="487"/>
      <c r="H26" s="487"/>
      <c r="I26" s="488"/>
      <c r="J26" s="488"/>
      <c r="K26" s="488"/>
      <c r="L26" s="488"/>
      <c r="M26" s="488"/>
      <c r="N26" s="488"/>
      <c r="O26" s="489"/>
      <c r="P26" s="2179" t="s">
        <v>158</v>
      </c>
      <c r="Q26" s="2179"/>
      <c r="R26" s="2180"/>
      <c r="S26" s="2181"/>
      <c r="T26" s="2181"/>
      <c r="U26" s="2181"/>
      <c r="V26" s="2182"/>
      <c r="W26" s="2183"/>
      <c r="X26" s="2181"/>
      <c r="Y26" s="2181"/>
      <c r="Z26" s="2181"/>
      <c r="AA26" s="2182"/>
      <c r="AB26" s="2183"/>
      <c r="AC26" s="2181"/>
      <c r="AD26" s="2181"/>
      <c r="AE26" s="2181"/>
      <c r="AF26" s="2184"/>
      <c r="AK26" s="59">
        <f t="shared" si="0"/>
        <v>0.4</v>
      </c>
      <c r="AL26" s="12" t="str">
        <f t="shared" si="1"/>
        <v/>
      </c>
      <c r="AM26" s="13" t="str">
        <f t="shared" si="2"/>
        <v/>
      </c>
      <c r="AN26" s="12" t="str">
        <f t="shared" si="3"/>
        <v/>
      </c>
      <c r="AO26" s="13" t="str">
        <f t="shared" si="4"/>
        <v/>
      </c>
      <c r="AP26" s="12" t="str">
        <f t="shared" si="5"/>
        <v/>
      </c>
      <c r="AQ26" s="13" t="str">
        <f t="shared" si="6"/>
        <v/>
      </c>
      <c r="AR26" s="2030" t="s">
        <v>160</v>
      </c>
      <c r="AS26" s="2030"/>
      <c r="AT26" s="372"/>
      <c r="AU26" s="279" t="s">
        <v>332</v>
      </c>
      <c r="AV26" s="284" t="s">
        <v>145</v>
      </c>
      <c r="AW26" s="318" t="str">
        <f>IF(AW17="","",AW17/(1+AW24/100))</f>
        <v/>
      </c>
      <c r="AX26" s="319" t="str">
        <f>IF(AX17="","",AX17/(1+AX24/100))</f>
        <v/>
      </c>
      <c r="AY26" s="320" t="str">
        <f>IF(AZ17="","",AZ17/(1+AZ24/100))</f>
        <v/>
      </c>
      <c r="BA26" s="140"/>
    </row>
    <row r="27" spans="3:54" ht="11.1" customHeight="1">
      <c r="E27" s="490"/>
      <c r="F27" s="491"/>
      <c r="G27" s="491"/>
      <c r="H27" s="491"/>
      <c r="I27" s="492"/>
      <c r="J27" s="492"/>
      <c r="K27" s="492"/>
      <c r="L27" s="492"/>
      <c r="M27" s="492"/>
      <c r="N27" s="492"/>
      <c r="O27" s="493"/>
      <c r="P27" s="494"/>
      <c r="Q27" s="494"/>
      <c r="R27" s="495"/>
      <c r="S27" s="495"/>
      <c r="T27" s="495"/>
      <c r="U27" s="495"/>
      <c r="V27" s="495"/>
      <c r="W27" s="495"/>
      <c r="X27" s="495"/>
      <c r="Y27" s="495"/>
      <c r="Z27" s="495"/>
      <c r="AA27" s="495"/>
      <c r="AB27" s="495"/>
      <c r="AC27" s="495"/>
      <c r="AD27" s="495"/>
      <c r="AE27" s="495"/>
      <c r="AF27" s="495"/>
      <c r="AK27" s="59">
        <f t="shared" si="0"/>
        <v>0.5</v>
      </c>
      <c r="AL27" s="12" t="str">
        <f t="shared" si="1"/>
        <v/>
      </c>
      <c r="AM27" s="13" t="str">
        <f t="shared" si="2"/>
        <v/>
      </c>
      <c r="AN27" s="12" t="str">
        <f t="shared" si="3"/>
        <v/>
      </c>
      <c r="AO27" s="13" t="str">
        <f t="shared" si="4"/>
        <v/>
      </c>
      <c r="AP27" s="12" t="str">
        <f t="shared" si="5"/>
        <v/>
      </c>
      <c r="AQ27" s="13" t="str">
        <f t="shared" si="6"/>
        <v/>
      </c>
      <c r="AR27" s="2034" t="s">
        <v>160</v>
      </c>
      <c r="AS27" s="2034"/>
      <c r="AT27" s="376"/>
      <c r="AU27" s="275" t="s">
        <v>332</v>
      </c>
      <c r="AV27" s="285" t="s">
        <v>162</v>
      </c>
      <c r="AW27" s="322" t="str">
        <f>IF(AW26="","",AW26*62.4/1000)</f>
        <v/>
      </c>
      <c r="AX27" s="323" t="str">
        <f>IF(AX26="","",AX26*62.4/1000)</f>
        <v/>
      </c>
      <c r="AY27" s="324" t="str">
        <f>IF(AY26="","",AY26*62.4/1000)</f>
        <v/>
      </c>
      <c r="BA27" s="140"/>
    </row>
    <row r="28" spans="3:54" ht="12" customHeight="1">
      <c r="E28" s="2137" t="s">
        <v>161</v>
      </c>
      <c r="F28" s="2138"/>
      <c r="G28" s="2138"/>
      <c r="H28" s="2138"/>
      <c r="I28" s="2138"/>
      <c r="J28" s="2138"/>
      <c r="K28" s="2138"/>
      <c r="L28" s="2138"/>
      <c r="M28" s="2138"/>
      <c r="N28" s="2138"/>
      <c r="O28" s="2138"/>
      <c r="P28" s="2138"/>
      <c r="Q28" s="2138"/>
      <c r="R28" s="2139"/>
      <c r="S28" s="2139"/>
      <c r="T28" s="2139"/>
      <c r="U28" s="2139"/>
      <c r="V28" s="2139"/>
      <c r="W28" s="2139"/>
      <c r="X28" s="2139"/>
      <c r="Y28" s="2139"/>
      <c r="Z28" s="2139"/>
      <c r="AA28" s="2139"/>
      <c r="AB28" s="2139"/>
      <c r="AC28" s="2139"/>
      <c r="AD28" s="2139"/>
      <c r="AE28" s="2139"/>
      <c r="AF28" s="2140"/>
      <c r="AK28" s="19" t="s">
        <v>305</v>
      </c>
      <c r="AL28" s="2044" t="str">
        <f>IF(R54="","",100*(R54-R55)/(R55-R56))</f>
        <v/>
      </c>
      <c r="AM28" s="2043"/>
      <c r="AN28" s="2042" t="str">
        <f>IF(W54="","",100*(W54-W55)/(W55-W56))</f>
        <v/>
      </c>
      <c r="AO28" s="2043"/>
      <c r="AP28" s="2042" t="str">
        <f>IF(AB54="","",100*(AB54-AB55)/(AB55-AB56))</f>
        <v/>
      </c>
      <c r="AQ28" s="2043"/>
      <c r="AR28" s="2031" t="s">
        <v>164</v>
      </c>
      <c r="AS28" s="2031"/>
      <c r="AT28" s="373"/>
      <c r="AU28" s="276"/>
      <c r="AV28" s="286" t="s">
        <v>86</v>
      </c>
      <c r="AW28" s="325" t="str">
        <f>+AL29</f>
        <v/>
      </c>
      <c r="AX28" s="326" t="str">
        <f>+AN29</f>
        <v/>
      </c>
      <c r="AY28" s="327" t="str">
        <f>+AP29</f>
        <v/>
      </c>
      <c r="BA28" s="140"/>
    </row>
    <row r="29" spans="3:54" ht="12" customHeight="1">
      <c r="E29" s="2160" t="s">
        <v>163</v>
      </c>
      <c r="F29" s="2161"/>
      <c r="G29" s="2161"/>
      <c r="H29" s="2161"/>
      <c r="I29" s="2161"/>
      <c r="J29" s="2161"/>
      <c r="K29" s="2161"/>
      <c r="L29" s="2161"/>
      <c r="M29" s="2161"/>
      <c r="N29" s="2161"/>
      <c r="O29" s="2161"/>
      <c r="P29" s="2161"/>
      <c r="Q29" s="2161"/>
      <c r="R29" s="2162"/>
      <c r="S29" s="2162"/>
      <c r="T29" s="2162"/>
      <c r="U29" s="2162"/>
      <c r="V29" s="2162"/>
      <c r="W29" s="2162"/>
      <c r="X29" s="2162"/>
      <c r="Y29" s="2162"/>
      <c r="Z29" s="2162"/>
      <c r="AA29" s="2162"/>
      <c r="AB29" s="2162"/>
      <c r="AC29" s="2162"/>
      <c r="AD29" s="2162"/>
      <c r="AE29" s="2162"/>
      <c r="AF29" s="2162"/>
      <c r="AK29" s="20" t="s">
        <v>167</v>
      </c>
      <c r="AL29" s="2158" t="str">
        <f>+IF(AM20="","",AM20/10)</f>
        <v/>
      </c>
      <c r="AM29" s="2159"/>
      <c r="AN29" s="2158" t="str">
        <f>+IF(AO20="","",IF(AO20="","",AO20/10))</f>
        <v/>
      </c>
      <c r="AO29" s="2159"/>
      <c r="AP29" s="2158" t="str">
        <f>+IF(AQ20="","",AQ20/10)</f>
        <v/>
      </c>
      <c r="AQ29" s="2159"/>
      <c r="AR29" s="2035" t="s">
        <v>168</v>
      </c>
      <c r="AS29" s="2035"/>
      <c r="AT29" s="377"/>
      <c r="AU29" s="287"/>
      <c r="AV29" s="288" t="s">
        <v>86</v>
      </c>
      <c r="AW29" s="328" t="str">
        <f>+AL30</f>
        <v/>
      </c>
      <c r="AX29" s="329" t="str">
        <f>+AN30</f>
        <v/>
      </c>
      <c r="AY29" s="330" t="str">
        <f>+AP30</f>
        <v/>
      </c>
      <c r="BA29" s="140"/>
    </row>
    <row r="30" spans="3:54" ht="12" customHeight="1">
      <c r="E30" s="496" t="s">
        <v>166</v>
      </c>
      <c r="F30" s="497"/>
      <c r="G30" s="497"/>
      <c r="H30" s="497"/>
      <c r="I30" s="498"/>
      <c r="J30" s="498"/>
      <c r="K30" s="498"/>
      <c r="L30" s="498"/>
      <c r="M30" s="498"/>
      <c r="N30" s="498"/>
      <c r="O30" s="498"/>
      <c r="P30" s="498"/>
      <c r="Q30" s="499" t="s">
        <v>82</v>
      </c>
      <c r="R30" s="2144"/>
      <c r="S30" s="2145"/>
      <c r="T30" s="2145"/>
      <c r="U30" s="2145"/>
      <c r="V30" s="2146"/>
      <c r="W30" s="2147"/>
      <c r="X30" s="2145"/>
      <c r="Y30" s="2145"/>
      <c r="Z30" s="2145"/>
      <c r="AA30" s="2146"/>
      <c r="AB30" s="2147"/>
      <c r="AC30" s="2145"/>
      <c r="AD30" s="2145"/>
      <c r="AE30" s="2145"/>
      <c r="AF30" s="2148"/>
      <c r="AK30" s="20" t="s">
        <v>170</v>
      </c>
      <c r="AL30" s="2163" t="str">
        <f>IF(AM24="","",AM24/15)</f>
        <v/>
      </c>
      <c r="AM30" s="2164"/>
      <c r="AN30" s="2165" t="str">
        <f>+IF(AO24="","",AO24/15)</f>
        <v/>
      </c>
      <c r="AO30" s="2164"/>
      <c r="AP30" s="2165" t="str">
        <f>+IF(AQ24="","",AQ24/15)</f>
        <v/>
      </c>
      <c r="AQ30" s="2164"/>
      <c r="AR30" s="462"/>
      <c r="AS30" s="461"/>
      <c r="AT30" s="461"/>
      <c r="AU30" s="461"/>
      <c r="AV30" s="461"/>
      <c r="AW30" s="462"/>
      <c r="AX30" s="462"/>
      <c r="AY30" s="462"/>
      <c r="AZ30" s="463"/>
      <c r="BA30" s="140"/>
    </row>
    <row r="31" spans="3:54" ht="12" customHeight="1">
      <c r="E31" s="2111" t="s">
        <v>169</v>
      </c>
      <c r="F31" s="2112"/>
      <c r="G31" s="2112"/>
      <c r="H31" s="2112"/>
      <c r="I31" s="2112"/>
      <c r="J31" s="2112"/>
      <c r="K31" s="2112"/>
      <c r="L31" s="2112"/>
      <c r="M31" s="2112"/>
      <c r="N31" s="2112"/>
      <c r="O31" s="2112"/>
      <c r="P31" s="2112"/>
      <c r="Q31" s="2112"/>
      <c r="R31" s="2113"/>
      <c r="S31" s="2113"/>
      <c r="T31" s="2113"/>
      <c r="U31" s="2113"/>
      <c r="V31" s="2113"/>
      <c r="W31" s="2113"/>
      <c r="X31" s="2113"/>
      <c r="Y31" s="2113"/>
      <c r="Z31" s="2113"/>
      <c r="AA31" s="2113"/>
      <c r="AB31" s="2113"/>
      <c r="AC31" s="2113"/>
      <c r="AD31" s="2113"/>
      <c r="AE31" s="2113"/>
      <c r="AF31" s="2114"/>
      <c r="AK31" s="2166"/>
      <c r="AL31" s="2167"/>
      <c r="AM31" s="2167"/>
      <c r="AN31" s="2167"/>
      <c r="AO31" s="2167"/>
      <c r="AP31" s="2167"/>
      <c r="AQ31" s="2168"/>
      <c r="AR31" s="461"/>
      <c r="AS31" s="461"/>
      <c r="AT31" s="461"/>
      <c r="AU31" s="461"/>
      <c r="AV31" s="461"/>
      <c r="AW31" s="2009" t="s">
        <v>172</v>
      </c>
      <c r="AX31" s="2010"/>
      <c r="AY31" s="2010"/>
      <c r="AZ31" s="2011"/>
      <c r="BA31" s="140"/>
    </row>
    <row r="32" spans="3:54" ht="12" customHeight="1">
      <c r="E32" s="500" t="s">
        <v>171</v>
      </c>
      <c r="F32" s="501"/>
      <c r="G32" s="501"/>
      <c r="H32" s="501"/>
      <c r="I32" s="502"/>
      <c r="J32" s="502"/>
      <c r="K32" s="502"/>
      <c r="L32" s="502"/>
      <c r="M32" s="502"/>
      <c r="N32" s="502"/>
      <c r="O32" s="502"/>
      <c r="P32" s="502"/>
      <c r="Q32" s="503" t="s">
        <v>82</v>
      </c>
      <c r="R32" s="2144"/>
      <c r="S32" s="2145"/>
      <c r="T32" s="2145"/>
      <c r="U32" s="2145"/>
      <c r="V32" s="2145"/>
      <c r="W32" s="2147"/>
      <c r="X32" s="2145"/>
      <c r="Y32" s="2145"/>
      <c r="Z32" s="2145"/>
      <c r="AA32" s="2148"/>
      <c r="AB32" s="2147"/>
      <c r="AC32" s="2145"/>
      <c r="AD32" s="2145"/>
      <c r="AE32" s="2145"/>
      <c r="AF32" s="2148"/>
      <c r="AK32" s="2169"/>
      <c r="AL32" s="2170"/>
      <c r="AM32" s="2170"/>
      <c r="AN32" s="2170"/>
      <c r="AO32" s="2170"/>
      <c r="AP32" s="2170"/>
      <c r="AQ32" s="2171"/>
      <c r="AR32" s="461"/>
      <c r="AS32" s="461"/>
      <c r="AT32" s="461"/>
      <c r="AU32" s="461"/>
      <c r="AV32" s="461"/>
      <c r="AW32" s="289" t="s">
        <v>310</v>
      </c>
      <c r="AX32" s="2023" t="s">
        <v>313</v>
      </c>
      <c r="AY32" s="2023"/>
      <c r="AZ32" s="290" t="s">
        <v>174</v>
      </c>
      <c r="BA32" s="140"/>
    </row>
    <row r="33" spans="5:53" ht="12" customHeight="1">
      <c r="E33" s="500" t="s">
        <v>173</v>
      </c>
      <c r="F33" s="501"/>
      <c r="G33" s="501"/>
      <c r="H33" s="501"/>
      <c r="I33" s="502"/>
      <c r="J33" s="502"/>
      <c r="K33" s="502"/>
      <c r="L33" s="502"/>
      <c r="M33" s="502"/>
      <c r="N33" s="502"/>
      <c r="O33" s="502"/>
      <c r="P33" s="502"/>
      <c r="Q33" s="503" t="s">
        <v>82</v>
      </c>
      <c r="R33" s="2144"/>
      <c r="S33" s="2145"/>
      <c r="T33" s="2145"/>
      <c r="U33" s="2145"/>
      <c r="V33" s="2146"/>
      <c r="W33" s="2147"/>
      <c r="X33" s="2145"/>
      <c r="Y33" s="2145"/>
      <c r="Z33" s="2145"/>
      <c r="AA33" s="2146"/>
      <c r="AB33" s="2147"/>
      <c r="AC33" s="2145"/>
      <c r="AD33" s="2145"/>
      <c r="AE33" s="2145"/>
      <c r="AF33" s="2148"/>
      <c r="AK33" s="2169"/>
      <c r="AL33" s="2170"/>
      <c r="AM33" s="2170"/>
      <c r="AN33" s="2170"/>
      <c r="AO33" s="2170"/>
      <c r="AP33" s="2170"/>
      <c r="AQ33" s="2171"/>
      <c r="AR33" s="461"/>
      <c r="AS33" s="461"/>
      <c r="AT33" s="461"/>
      <c r="AU33" s="461"/>
      <c r="AV33" s="461"/>
      <c r="AW33" s="291" t="s">
        <v>311</v>
      </c>
      <c r="AX33" s="2022" t="s">
        <v>312</v>
      </c>
      <c r="AY33" s="2022"/>
      <c r="AZ33" s="292" t="s">
        <v>174</v>
      </c>
      <c r="BA33" s="140"/>
    </row>
    <row r="34" spans="5:53" ht="12" customHeight="1">
      <c r="E34" s="504" t="s">
        <v>175</v>
      </c>
      <c r="F34" s="505"/>
      <c r="G34" s="505"/>
      <c r="H34" s="505"/>
      <c r="I34" s="506"/>
      <c r="J34" s="506"/>
      <c r="K34" s="506"/>
      <c r="L34" s="506"/>
      <c r="M34" s="506"/>
      <c r="N34" s="506"/>
      <c r="O34" s="506"/>
      <c r="P34" s="506"/>
      <c r="Q34" s="507" t="s">
        <v>82</v>
      </c>
      <c r="R34" s="2149"/>
      <c r="S34" s="2150"/>
      <c r="T34" s="2150"/>
      <c r="U34" s="2150"/>
      <c r="V34" s="2151"/>
      <c r="W34" s="2152"/>
      <c r="X34" s="2150"/>
      <c r="Y34" s="2150"/>
      <c r="Z34" s="2150"/>
      <c r="AA34" s="2151"/>
      <c r="AB34" s="2152"/>
      <c r="AC34" s="2150"/>
      <c r="AD34" s="2150"/>
      <c r="AE34" s="2150"/>
      <c r="AF34" s="2153"/>
      <c r="AK34" s="2169"/>
      <c r="AL34" s="2170"/>
      <c r="AM34" s="2170"/>
      <c r="AN34" s="2170"/>
      <c r="AO34" s="2170"/>
      <c r="AP34" s="2170"/>
      <c r="AQ34" s="2171"/>
      <c r="AR34" s="461"/>
      <c r="AS34" s="461"/>
      <c r="AT34" s="461"/>
      <c r="AU34" s="461"/>
      <c r="AV34" s="461"/>
      <c r="AW34" s="461"/>
      <c r="AX34" s="461"/>
      <c r="AY34" s="461"/>
      <c r="AZ34" s="464"/>
      <c r="BA34" s="140"/>
    </row>
    <row r="35" spans="5:53" ht="12" customHeight="1">
      <c r="E35" s="2175" t="s">
        <v>176</v>
      </c>
      <c r="F35" s="2176"/>
      <c r="G35" s="2176"/>
      <c r="H35" s="2176"/>
      <c r="I35" s="2176"/>
      <c r="J35" s="2176"/>
      <c r="K35" s="2176"/>
      <c r="L35" s="2176"/>
      <c r="M35" s="2176"/>
      <c r="N35" s="2176"/>
      <c r="O35" s="2176"/>
      <c r="P35" s="2176"/>
      <c r="Q35" s="2176"/>
      <c r="R35" s="2176"/>
      <c r="S35" s="2176"/>
      <c r="T35" s="2176"/>
      <c r="U35" s="2176"/>
      <c r="V35" s="2176"/>
      <c r="W35" s="2176"/>
      <c r="X35" s="2176"/>
      <c r="Y35" s="2176"/>
      <c r="Z35" s="2176"/>
      <c r="AA35" s="2176"/>
      <c r="AB35" s="2176"/>
      <c r="AC35" s="2176"/>
      <c r="AD35" s="2176"/>
      <c r="AE35" s="2176"/>
      <c r="AF35" s="2177"/>
      <c r="AG35" s="210"/>
      <c r="AH35" s="210"/>
      <c r="AI35" s="210"/>
      <c r="AJ35" s="211"/>
      <c r="AK35" s="2169"/>
      <c r="AL35" s="2170"/>
      <c r="AM35" s="2170"/>
      <c r="AN35" s="2170"/>
      <c r="AO35" s="2170"/>
      <c r="AP35" s="2170"/>
      <c r="AQ35" s="2171"/>
      <c r="AR35" s="461"/>
      <c r="AS35" s="461"/>
      <c r="AT35" s="461"/>
      <c r="AU35" s="461"/>
      <c r="AV35" s="461"/>
      <c r="AW35" s="2009" t="s">
        <v>179</v>
      </c>
      <c r="AX35" s="2010"/>
      <c r="AY35" s="2010"/>
      <c r="AZ35" s="2011"/>
      <c r="BA35" s="140"/>
    </row>
    <row r="36" spans="5:53" ht="12" customHeight="1">
      <c r="E36" s="508" t="s">
        <v>177</v>
      </c>
      <c r="F36" s="509"/>
      <c r="G36" s="510"/>
      <c r="H36" s="510"/>
      <c r="I36" s="510"/>
      <c r="J36" s="510"/>
      <c r="K36" s="510"/>
      <c r="L36" s="510"/>
      <c r="M36" s="510"/>
      <c r="N36" s="511"/>
      <c r="O36" s="511"/>
      <c r="P36" s="510"/>
      <c r="Q36" s="512" t="s">
        <v>84</v>
      </c>
      <c r="R36" s="2178"/>
      <c r="S36" s="2178"/>
      <c r="T36" s="2178"/>
      <c r="U36" s="2178"/>
      <c r="V36" s="2178"/>
      <c r="W36" s="2178"/>
      <c r="X36" s="2178"/>
      <c r="Y36" s="2178"/>
      <c r="Z36" s="2178"/>
      <c r="AA36" s="2178"/>
      <c r="AB36" s="2178"/>
      <c r="AC36" s="2178"/>
      <c r="AD36" s="2178"/>
      <c r="AE36" s="2178"/>
      <c r="AF36" s="2178"/>
      <c r="AG36" s="210"/>
      <c r="AH36" s="210"/>
      <c r="AI36" s="210"/>
      <c r="AJ36" s="211"/>
      <c r="AK36" s="2169"/>
      <c r="AL36" s="2170"/>
      <c r="AM36" s="2170"/>
      <c r="AN36" s="2170"/>
      <c r="AO36" s="2170"/>
      <c r="AP36" s="2170"/>
      <c r="AQ36" s="2171"/>
      <c r="AR36" s="461"/>
      <c r="AS36" s="461"/>
      <c r="AT36" s="461"/>
      <c r="AU36" s="461"/>
      <c r="AV36" s="461"/>
      <c r="AW36" s="2012"/>
      <c r="AX36" s="2013"/>
      <c r="AY36" s="2013"/>
      <c r="AZ36" s="2014"/>
      <c r="BA36" s="140"/>
    </row>
    <row r="37" spans="5:53" ht="12" customHeight="1">
      <c r="E37" s="513" t="s">
        <v>178</v>
      </c>
      <c r="F37" s="509"/>
      <c r="G37" s="510"/>
      <c r="H37" s="510"/>
      <c r="I37" s="510"/>
      <c r="J37" s="510"/>
      <c r="K37" s="510"/>
      <c r="L37" s="510"/>
      <c r="M37" s="510"/>
      <c r="N37" s="511"/>
      <c r="O37" s="511"/>
      <c r="P37" s="510"/>
      <c r="Q37" s="514" t="s">
        <v>84</v>
      </c>
      <c r="R37" s="2141"/>
      <c r="S37" s="2142"/>
      <c r="T37" s="2142"/>
      <c r="U37" s="2142"/>
      <c r="V37" s="2143"/>
      <c r="W37" s="2141"/>
      <c r="X37" s="2142"/>
      <c r="Y37" s="2142"/>
      <c r="Z37" s="2142"/>
      <c r="AA37" s="2143"/>
      <c r="AB37" s="2141"/>
      <c r="AC37" s="2142"/>
      <c r="AD37" s="2142"/>
      <c r="AE37" s="2142"/>
      <c r="AF37" s="2143"/>
      <c r="AG37" s="210"/>
      <c r="AH37" s="210"/>
      <c r="AI37" s="210"/>
      <c r="AJ37" s="211"/>
      <c r="AK37" s="2169"/>
      <c r="AL37" s="2170"/>
      <c r="AM37" s="2170"/>
      <c r="AN37" s="2170"/>
      <c r="AO37" s="2170"/>
      <c r="AP37" s="2170"/>
      <c r="AQ37" s="2171"/>
      <c r="AR37" s="461"/>
      <c r="AS37" s="461"/>
      <c r="AT37" s="461"/>
      <c r="AU37" s="461"/>
      <c r="AV37" s="461"/>
      <c r="AW37" s="293" t="s">
        <v>314</v>
      </c>
      <c r="AX37" s="1781" t="s">
        <v>316</v>
      </c>
      <c r="AY37" s="1781"/>
      <c r="AZ37" s="294"/>
      <c r="BA37" s="140"/>
    </row>
    <row r="38" spans="5:53" s="214" customFormat="1" ht="12" customHeight="1">
      <c r="E38" s="2127" t="s">
        <v>134</v>
      </c>
      <c r="F38" s="2127"/>
      <c r="G38" s="2127"/>
      <c r="H38" s="2127"/>
      <c r="I38" s="2127"/>
      <c r="J38" s="2127"/>
      <c r="K38" s="605"/>
      <c r="L38" s="606"/>
      <c r="M38" s="2128" t="s">
        <v>180</v>
      </c>
      <c r="N38" s="2128"/>
      <c r="O38" s="2128"/>
      <c r="P38" s="2128"/>
      <c r="Q38" s="2129"/>
      <c r="R38" s="2130" t="e">
        <f>+#REF!</f>
        <v>#REF!</v>
      </c>
      <c r="S38" s="2131"/>
      <c r="T38" s="2131"/>
      <c r="U38" s="2131"/>
      <c r="V38" s="2132"/>
      <c r="W38" s="2133" t="s">
        <v>135</v>
      </c>
      <c r="X38" s="2134"/>
      <c r="Y38" s="2135"/>
      <c r="Z38" s="2136"/>
      <c r="AA38" s="2136"/>
      <c r="AB38" s="2136"/>
      <c r="AC38" s="2136"/>
      <c r="AD38" s="2136"/>
      <c r="AE38" s="2136"/>
      <c r="AF38" s="2136"/>
      <c r="AG38" s="212"/>
      <c r="AH38" s="212"/>
      <c r="AI38" s="212"/>
      <c r="AJ38" s="213"/>
      <c r="AK38" s="2169"/>
      <c r="AL38" s="2170"/>
      <c r="AM38" s="2170"/>
      <c r="AN38" s="2170"/>
      <c r="AO38" s="2170"/>
      <c r="AP38" s="2170"/>
      <c r="AQ38" s="2171"/>
      <c r="AR38" s="461"/>
      <c r="AS38" s="461"/>
      <c r="AT38" s="461"/>
      <c r="AU38" s="461"/>
      <c r="AV38" s="461"/>
      <c r="AW38" s="295" t="s">
        <v>315</v>
      </c>
      <c r="AX38" s="2021" t="s">
        <v>317</v>
      </c>
      <c r="AY38" s="2021"/>
      <c r="AZ38" s="296" t="s">
        <v>89</v>
      </c>
    </row>
    <row r="39" spans="5:53" ht="12" customHeight="1">
      <c r="E39" s="2137" t="s">
        <v>83</v>
      </c>
      <c r="F39" s="2138"/>
      <c r="G39" s="2138"/>
      <c r="H39" s="2138"/>
      <c r="I39" s="2138"/>
      <c r="J39" s="2138"/>
      <c r="K39" s="2138"/>
      <c r="L39" s="2138"/>
      <c r="M39" s="2138"/>
      <c r="N39" s="2138"/>
      <c r="O39" s="2138"/>
      <c r="P39" s="2138"/>
      <c r="Q39" s="2138"/>
      <c r="R39" s="2139"/>
      <c r="S39" s="2139"/>
      <c r="T39" s="2139"/>
      <c r="U39" s="2139"/>
      <c r="V39" s="2139"/>
      <c r="W39" s="2139"/>
      <c r="X39" s="2139"/>
      <c r="Y39" s="2139"/>
      <c r="Z39" s="2139"/>
      <c r="AA39" s="2139"/>
      <c r="AB39" s="2139"/>
      <c r="AC39" s="2139"/>
      <c r="AD39" s="2139"/>
      <c r="AE39" s="2139"/>
      <c r="AF39" s="2140"/>
      <c r="AG39" s="212"/>
      <c r="AH39" s="212"/>
      <c r="AI39" s="212"/>
      <c r="AJ39" s="213"/>
      <c r="AK39" s="2169"/>
      <c r="AL39" s="2170"/>
      <c r="AM39" s="2170"/>
      <c r="AN39" s="2170"/>
      <c r="AO39" s="2170"/>
      <c r="AP39" s="2170"/>
      <c r="AQ39" s="2171"/>
      <c r="AR39" s="461"/>
      <c r="AS39" s="461"/>
      <c r="AT39" s="461"/>
      <c r="AU39" s="461"/>
      <c r="AV39" s="461"/>
      <c r="AW39" s="465"/>
      <c r="AX39" s="465"/>
      <c r="AY39" s="465"/>
      <c r="AZ39" s="466"/>
      <c r="BA39" s="140"/>
    </row>
    <row r="40" spans="5:53" ht="12" customHeight="1">
      <c r="E40" s="2154" t="s">
        <v>3</v>
      </c>
      <c r="F40" s="1758"/>
      <c r="G40" s="1758"/>
      <c r="H40" s="1758"/>
      <c r="I40" s="1758"/>
      <c r="J40" s="1758"/>
      <c r="K40" s="2154" t="s">
        <v>48</v>
      </c>
      <c r="L40" s="1758"/>
      <c r="M40" s="1758"/>
      <c r="N40" s="1758"/>
      <c r="O40" s="1758"/>
      <c r="P40" s="1758"/>
      <c r="Q40" s="1759"/>
      <c r="R40" s="2155" t="s">
        <v>181</v>
      </c>
      <c r="S40" s="2156"/>
      <c r="T40" s="2156"/>
      <c r="U40" s="2156"/>
      <c r="V40" s="2156"/>
      <c r="W40" s="2156"/>
      <c r="X40" s="2156"/>
      <c r="Y40" s="2156"/>
      <c r="Z40" s="2156"/>
      <c r="AA40" s="2156"/>
      <c r="AB40" s="2156"/>
      <c r="AC40" s="2156"/>
      <c r="AD40" s="2156"/>
      <c r="AE40" s="2156"/>
      <c r="AF40" s="2157"/>
      <c r="AG40" s="212"/>
      <c r="AH40" s="212"/>
      <c r="AI40" s="212"/>
      <c r="AJ40" s="213"/>
      <c r="AK40" s="2169"/>
      <c r="AL40" s="2170"/>
      <c r="AM40" s="2170"/>
      <c r="AN40" s="2170"/>
      <c r="AO40" s="2170"/>
      <c r="AP40" s="2170"/>
      <c r="AQ40" s="2171"/>
      <c r="AR40" s="461"/>
      <c r="AS40" s="461"/>
      <c r="AT40" s="461"/>
      <c r="AU40" s="461"/>
      <c r="AV40" s="461"/>
      <c r="AW40" s="465"/>
      <c r="AX40" s="465"/>
      <c r="AY40" s="465"/>
      <c r="AZ40" s="466"/>
      <c r="BA40" s="140"/>
    </row>
    <row r="41" spans="5:53" ht="12" customHeight="1">
      <c r="E41" s="2125">
        <f t="shared" ref="E41:E52" si="7">25.4*K41</f>
        <v>0</v>
      </c>
      <c r="F41" s="2126"/>
      <c r="G41" s="2126"/>
      <c r="H41" s="2126"/>
      <c r="I41" s="2126"/>
      <c r="J41" s="2126"/>
      <c r="K41" s="2117">
        <v>0</v>
      </c>
      <c r="L41" s="2118"/>
      <c r="M41" s="2118"/>
      <c r="N41" s="2118"/>
      <c r="O41" s="2118"/>
      <c r="P41" s="2118"/>
      <c r="Q41" s="2119"/>
      <c r="R41" s="2120"/>
      <c r="S41" s="2121"/>
      <c r="T41" s="2121"/>
      <c r="U41" s="2121"/>
      <c r="V41" s="2122"/>
      <c r="W41" s="2120"/>
      <c r="X41" s="2121"/>
      <c r="Y41" s="2121"/>
      <c r="Z41" s="2121"/>
      <c r="AA41" s="2122"/>
      <c r="AB41" s="2120"/>
      <c r="AC41" s="2121"/>
      <c r="AD41" s="2121"/>
      <c r="AE41" s="2121"/>
      <c r="AF41" s="2122"/>
      <c r="AG41" s="212"/>
      <c r="AH41" s="212"/>
      <c r="AI41" s="212"/>
      <c r="AJ41" s="213"/>
      <c r="AK41" s="2169"/>
      <c r="AL41" s="2170"/>
      <c r="AM41" s="2170"/>
      <c r="AN41" s="2170"/>
      <c r="AO41" s="2170"/>
      <c r="AP41" s="2170"/>
      <c r="AQ41" s="2171"/>
      <c r="AR41" s="461"/>
      <c r="AS41" s="461"/>
      <c r="AT41" s="461"/>
      <c r="AU41" s="461"/>
      <c r="AV41" s="461"/>
      <c r="AW41" s="461"/>
      <c r="AX41" s="461"/>
      <c r="AY41" s="461"/>
      <c r="AZ41" s="464"/>
      <c r="BA41" s="140"/>
    </row>
    <row r="42" spans="5:53" ht="12" customHeight="1">
      <c r="E42" s="2123">
        <f t="shared" si="7"/>
        <v>0.63500000000000001</v>
      </c>
      <c r="F42" s="2124"/>
      <c r="G42" s="2124"/>
      <c r="H42" s="2124"/>
      <c r="I42" s="2124"/>
      <c r="J42" s="2124"/>
      <c r="K42" s="2117">
        <v>2.5000000000000001E-2</v>
      </c>
      <c r="L42" s="2118"/>
      <c r="M42" s="2118"/>
      <c r="N42" s="2118"/>
      <c r="O42" s="2118"/>
      <c r="P42" s="2118"/>
      <c r="Q42" s="2119"/>
      <c r="R42" s="2120"/>
      <c r="S42" s="2121"/>
      <c r="T42" s="2121"/>
      <c r="U42" s="2121"/>
      <c r="V42" s="2122"/>
      <c r="W42" s="2120"/>
      <c r="X42" s="2121"/>
      <c r="Y42" s="2121"/>
      <c r="Z42" s="2121"/>
      <c r="AA42" s="2122"/>
      <c r="AB42" s="2120"/>
      <c r="AC42" s="2121"/>
      <c r="AD42" s="2121"/>
      <c r="AE42" s="2121"/>
      <c r="AF42" s="2122"/>
      <c r="AG42" s="212"/>
      <c r="AH42" s="212"/>
      <c r="AI42" s="212"/>
      <c r="AJ42" s="213"/>
      <c r="AK42" s="2169"/>
      <c r="AL42" s="2170"/>
      <c r="AM42" s="2170"/>
      <c r="AN42" s="2170"/>
      <c r="AO42" s="2170"/>
      <c r="AP42" s="2170"/>
      <c r="AQ42" s="2171"/>
      <c r="AR42" s="461"/>
      <c r="AS42" s="461"/>
      <c r="AT42" s="461"/>
      <c r="AU42" s="461"/>
      <c r="AV42" s="461"/>
      <c r="AW42" s="1994" t="s">
        <v>182</v>
      </c>
      <c r="AX42" s="2017" t="s">
        <v>183</v>
      </c>
      <c r="AY42" s="2018"/>
      <c r="AZ42" s="1994" t="s">
        <v>184</v>
      </c>
      <c r="BA42" s="140"/>
    </row>
    <row r="43" spans="5:53" ht="12" customHeight="1">
      <c r="E43" s="2123">
        <f t="shared" si="7"/>
        <v>1.27</v>
      </c>
      <c r="F43" s="2124"/>
      <c r="G43" s="2124"/>
      <c r="H43" s="2124"/>
      <c r="I43" s="2124"/>
      <c r="J43" s="2124"/>
      <c r="K43" s="2117">
        <v>0.05</v>
      </c>
      <c r="L43" s="2118"/>
      <c r="M43" s="2118"/>
      <c r="N43" s="2118"/>
      <c r="O43" s="2118"/>
      <c r="P43" s="2118"/>
      <c r="Q43" s="2119"/>
      <c r="R43" s="2120"/>
      <c r="S43" s="2121"/>
      <c r="T43" s="2121"/>
      <c r="U43" s="2121"/>
      <c r="V43" s="2122"/>
      <c r="W43" s="2120"/>
      <c r="X43" s="2121"/>
      <c r="Y43" s="2121"/>
      <c r="Z43" s="2121"/>
      <c r="AA43" s="2122"/>
      <c r="AB43" s="2120"/>
      <c r="AC43" s="2121"/>
      <c r="AD43" s="2121"/>
      <c r="AE43" s="2121"/>
      <c r="AF43" s="2122"/>
      <c r="AG43" s="212"/>
      <c r="AH43" s="212"/>
      <c r="AI43" s="212"/>
      <c r="AJ43" s="213"/>
      <c r="AK43" s="2169"/>
      <c r="AL43" s="2170"/>
      <c r="AM43" s="2170"/>
      <c r="AN43" s="2170"/>
      <c r="AO43" s="2170"/>
      <c r="AP43" s="2170"/>
      <c r="AQ43" s="2171"/>
      <c r="AR43" s="461"/>
      <c r="AS43" s="461"/>
      <c r="AT43" s="461"/>
      <c r="AU43" s="461"/>
      <c r="AV43" s="461"/>
      <c r="AW43" s="1995"/>
      <c r="AX43" s="2019"/>
      <c r="AY43" s="2020"/>
      <c r="AZ43" s="1995"/>
      <c r="BA43" s="140"/>
    </row>
    <row r="44" spans="5:53" ht="12" customHeight="1">
      <c r="E44" s="2123">
        <f t="shared" si="7"/>
        <v>1.9049999999999998</v>
      </c>
      <c r="F44" s="2124"/>
      <c r="G44" s="2124"/>
      <c r="H44" s="2124"/>
      <c r="I44" s="2124"/>
      <c r="J44" s="2124"/>
      <c r="K44" s="2117">
        <v>7.4999999999999997E-2</v>
      </c>
      <c r="L44" s="2118"/>
      <c r="M44" s="2118"/>
      <c r="N44" s="2118"/>
      <c r="O44" s="2118"/>
      <c r="P44" s="2118"/>
      <c r="Q44" s="2119"/>
      <c r="R44" s="2120"/>
      <c r="S44" s="2121"/>
      <c r="T44" s="2121"/>
      <c r="U44" s="2121"/>
      <c r="V44" s="2122"/>
      <c r="W44" s="2120"/>
      <c r="X44" s="2121"/>
      <c r="Y44" s="2121"/>
      <c r="Z44" s="2121"/>
      <c r="AA44" s="2122"/>
      <c r="AB44" s="2120"/>
      <c r="AC44" s="2121"/>
      <c r="AD44" s="2121"/>
      <c r="AE44" s="2121"/>
      <c r="AF44" s="2122"/>
      <c r="AG44" s="212"/>
      <c r="AH44" s="212"/>
      <c r="AI44" s="212"/>
      <c r="AJ44" s="213"/>
      <c r="AK44" s="2169"/>
      <c r="AL44" s="2170"/>
      <c r="AM44" s="2170"/>
      <c r="AN44" s="2170"/>
      <c r="AO44" s="2170"/>
      <c r="AP44" s="2170"/>
      <c r="AQ44" s="2171"/>
      <c r="AR44" s="461"/>
      <c r="AS44" s="461"/>
      <c r="AT44" s="461"/>
      <c r="AU44" s="461"/>
      <c r="AV44" s="461"/>
      <c r="AW44" s="297" t="s">
        <v>86</v>
      </c>
      <c r="AX44" s="2015" t="s">
        <v>318</v>
      </c>
      <c r="AY44" s="2016"/>
      <c r="AZ44" s="297" t="s">
        <v>86</v>
      </c>
      <c r="BA44" s="140"/>
    </row>
    <row r="45" spans="5:53" ht="12" customHeight="1">
      <c r="E45" s="2123">
        <f t="shared" si="7"/>
        <v>2.54</v>
      </c>
      <c r="F45" s="2124"/>
      <c r="G45" s="2124"/>
      <c r="H45" s="2124"/>
      <c r="I45" s="2124"/>
      <c r="J45" s="2124"/>
      <c r="K45" s="2117">
        <v>0.1</v>
      </c>
      <c r="L45" s="2118"/>
      <c r="M45" s="2118"/>
      <c r="N45" s="2118"/>
      <c r="O45" s="2118"/>
      <c r="P45" s="2118"/>
      <c r="Q45" s="2119"/>
      <c r="R45" s="2120"/>
      <c r="S45" s="2121"/>
      <c r="T45" s="2121"/>
      <c r="U45" s="2121"/>
      <c r="V45" s="2122"/>
      <c r="W45" s="2120"/>
      <c r="X45" s="2121"/>
      <c r="Y45" s="2121"/>
      <c r="Z45" s="2121"/>
      <c r="AA45" s="2122"/>
      <c r="AB45" s="2120"/>
      <c r="AC45" s="2121"/>
      <c r="AD45" s="2121"/>
      <c r="AE45" s="2121"/>
      <c r="AF45" s="2122"/>
      <c r="AG45" s="212"/>
      <c r="AH45" s="212"/>
      <c r="AI45" s="212"/>
      <c r="AJ45" s="213"/>
      <c r="AK45" s="2169"/>
      <c r="AL45" s="2170"/>
      <c r="AM45" s="2170"/>
      <c r="AN45" s="2170"/>
      <c r="AO45" s="2170"/>
      <c r="AP45" s="2170"/>
      <c r="AQ45" s="2171"/>
      <c r="AR45" s="461"/>
      <c r="AS45" s="461"/>
      <c r="AT45" s="461"/>
      <c r="AU45" s="461"/>
      <c r="AV45" s="461"/>
      <c r="AW45" s="298">
        <f>AO69</f>
        <v>100</v>
      </c>
      <c r="AX45" s="2005" t="str">
        <f>IF(AP69="","",AP69)</f>
        <v/>
      </c>
      <c r="AY45" s="2006"/>
      <c r="AZ45" s="299" t="str">
        <f>IF(AN83="","",AN83)</f>
        <v/>
      </c>
      <c r="BA45" s="140"/>
    </row>
    <row r="46" spans="5:53" ht="12" customHeight="1">
      <c r="E46" s="2123">
        <f t="shared" si="7"/>
        <v>3.1749999999999998</v>
      </c>
      <c r="F46" s="2124"/>
      <c r="G46" s="2124"/>
      <c r="H46" s="2124"/>
      <c r="I46" s="2124"/>
      <c r="J46" s="2124"/>
      <c r="K46" s="2117">
        <v>0.125</v>
      </c>
      <c r="L46" s="2118"/>
      <c r="M46" s="2118"/>
      <c r="N46" s="2118"/>
      <c r="O46" s="2118"/>
      <c r="P46" s="2118"/>
      <c r="Q46" s="2119"/>
      <c r="R46" s="2120"/>
      <c r="S46" s="2121"/>
      <c r="T46" s="2121"/>
      <c r="U46" s="2121"/>
      <c r="V46" s="2122"/>
      <c r="W46" s="2120"/>
      <c r="X46" s="2121"/>
      <c r="Y46" s="2121"/>
      <c r="Z46" s="2121"/>
      <c r="AA46" s="2122"/>
      <c r="AB46" s="2120"/>
      <c r="AC46" s="2121"/>
      <c r="AD46" s="2121"/>
      <c r="AE46" s="2121"/>
      <c r="AF46" s="2122"/>
      <c r="AG46" s="212"/>
      <c r="AH46" s="212"/>
      <c r="AI46" s="212"/>
      <c r="AJ46" s="213"/>
      <c r="AK46" s="2169"/>
      <c r="AL46" s="2170"/>
      <c r="AM46" s="2170"/>
      <c r="AN46" s="2170"/>
      <c r="AO46" s="2170"/>
      <c r="AP46" s="2170"/>
      <c r="AQ46" s="2171"/>
      <c r="AR46" s="461"/>
      <c r="AS46" s="461"/>
      <c r="AT46" s="461"/>
      <c r="AU46" s="461"/>
      <c r="AV46" s="461"/>
      <c r="AW46" s="298">
        <f>AO70</f>
        <v>98</v>
      </c>
      <c r="AX46" s="2005" t="str">
        <f>IF(AP70="","",AP70)</f>
        <v/>
      </c>
      <c r="AY46" s="2006"/>
      <c r="AZ46" s="299" t="str">
        <f>+AN84</f>
        <v/>
      </c>
      <c r="BA46" s="140"/>
    </row>
    <row r="47" spans="5:53" ht="12" customHeight="1">
      <c r="E47" s="2123">
        <f t="shared" si="7"/>
        <v>3.8099999999999996</v>
      </c>
      <c r="F47" s="2124"/>
      <c r="G47" s="2124"/>
      <c r="H47" s="2124"/>
      <c r="I47" s="2124"/>
      <c r="J47" s="2124"/>
      <c r="K47" s="2117">
        <v>0.15</v>
      </c>
      <c r="L47" s="2118"/>
      <c r="M47" s="2118"/>
      <c r="N47" s="2118"/>
      <c r="O47" s="2118"/>
      <c r="P47" s="2118"/>
      <c r="Q47" s="2119"/>
      <c r="R47" s="2120"/>
      <c r="S47" s="2121"/>
      <c r="T47" s="2121"/>
      <c r="U47" s="2121"/>
      <c r="V47" s="2122"/>
      <c r="W47" s="2120"/>
      <c r="X47" s="2121"/>
      <c r="Y47" s="2121"/>
      <c r="Z47" s="2121"/>
      <c r="AA47" s="2122"/>
      <c r="AB47" s="2120"/>
      <c r="AC47" s="2121"/>
      <c r="AD47" s="2121"/>
      <c r="AE47" s="2121"/>
      <c r="AF47" s="2122"/>
      <c r="AG47" s="212"/>
      <c r="AH47" s="212"/>
      <c r="AI47" s="212"/>
      <c r="AJ47" s="213"/>
      <c r="AK47" s="2169"/>
      <c r="AL47" s="2170"/>
      <c r="AM47" s="2170"/>
      <c r="AN47" s="2170"/>
      <c r="AO47" s="2170"/>
      <c r="AP47" s="2170"/>
      <c r="AQ47" s="2171"/>
      <c r="AR47" s="461"/>
      <c r="AS47" s="461"/>
      <c r="AT47" s="461"/>
      <c r="AU47" s="461"/>
      <c r="AV47" s="467"/>
      <c r="AW47" s="300">
        <f>AO71</f>
        <v>95</v>
      </c>
      <c r="AX47" s="2003" t="str">
        <f>IF(AP71="","",AP71)</f>
        <v/>
      </c>
      <c r="AY47" s="2004"/>
      <c r="AZ47" s="301" t="str">
        <f>+AN85</f>
        <v/>
      </c>
      <c r="BA47" s="140"/>
    </row>
    <row r="48" spans="5:53" ht="12" customHeight="1">
      <c r="E48" s="2123">
        <f t="shared" si="7"/>
        <v>4.4449999999999994</v>
      </c>
      <c r="F48" s="2124"/>
      <c r="G48" s="2124"/>
      <c r="H48" s="2124"/>
      <c r="I48" s="2124"/>
      <c r="J48" s="2124"/>
      <c r="K48" s="2117">
        <v>0.17499999999999999</v>
      </c>
      <c r="L48" s="2118"/>
      <c r="M48" s="2118"/>
      <c r="N48" s="2118"/>
      <c r="O48" s="2118"/>
      <c r="P48" s="2118"/>
      <c r="Q48" s="2119"/>
      <c r="R48" s="2120"/>
      <c r="S48" s="2121"/>
      <c r="T48" s="2121"/>
      <c r="U48" s="2121"/>
      <c r="V48" s="2122"/>
      <c r="W48" s="2120"/>
      <c r="X48" s="2121"/>
      <c r="Y48" s="2121"/>
      <c r="Z48" s="2121"/>
      <c r="AA48" s="2122"/>
      <c r="AB48" s="2120"/>
      <c r="AC48" s="2121"/>
      <c r="AD48" s="2121"/>
      <c r="AE48" s="2121"/>
      <c r="AF48" s="2122"/>
      <c r="AG48" s="212"/>
      <c r="AH48" s="212"/>
      <c r="AI48" s="212"/>
      <c r="AJ48" s="213"/>
      <c r="AK48" s="2169"/>
      <c r="AL48" s="2170"/>
      <c r="AM48" s="2170"/>
      <c r="AN48" s="2170"/>
      <c r="AO48" s="2170"/>
      <c r="AP48" s="2170"/>
      <c r="AQ48" s="2171"/>
      <c r="AR48" s="569"/>
      <c r="AS48" s="461"/>
      <c r="AT48" s="461"/>
      <c r="AU48" s="461"/>
      <c r="AV48" s="467"/>
      <c r="AW48" s="461"/>
      <c r="AX48" s="461"/>
      <c r="AY48" s="461"/>
      <c r="AZ48" s="464"/>
      <c r="BA48" s="140"/>
    </row>
    <row r="49" spans="5:67" ht="10.5" customHeight="1">
      <c r="E49" s="2123">
        <f t="shared" si="7"/>
        <v>5.08</v>
      </c>
      <c r="F49" s="2124"/>
      <c r="G49" s="2124"/>
      <c r="H49" s="2124"/>
      <c r="I49" s="2124"/>
      <c r="J49" s="2124"/>
      <c r="K49" s="2117">
        <v>0.2</v>
      </c>
      <c r="L49" s="2118"/>
      <c r="M49" s="2118"/>
      <c r="N49" s="2118"/>
      <c r="O49" s="2118"/>
      <c r="P49" s="2118"/>
      <c r="Q49" s="2119"/>
      <c r="R49" s="2120"/>
      <c r="S49" s="2121"/>
      <c r="T49" s="2121"/>
      <c r="U49" s="2121"/>
      <c r="V49" s="2122"/>
      <c r="W49" s="2120"/>
      <c r="X49" s="2121"/>
      <c r="Y49" s="2121"/>
      <c r="Z49" s="2121"/>
      <c r="AA49" s="2122"/>
      <c r="AB49" s="2120"/>
      <c r="AC49" s="2121"/>
      <c r="AD49" s="2121"/>
      <c r="AE49" s="2121"/>
      <c r="AF49" s="2122"/>
      <c r="AG49" s="212"/>
      <c r="AH49" s="212"/>
      <c r="AI49" s="212"/>
      <c r="AJ49" s="213"/>
      <c r="AK49" s="2172"/>
      <c r="AL49" s="2173"/>
      <c r="AM49" s="2173"/>
      <c r="AN49" s="2173"/>
      <c r="AO49" s="2173"/>
      <c r="AP49" s="2173"/>
      <c r="AQ49" s="2174"/>
      <c r="AR49" s="570"/>
      <c r="AS49" s="461"/>
      <c r="AT49" s="461"/>
      <c r="AU49" s="461"/>
      <c r="AV49" s="467"/>
      <c r="AW49" s="468"/>
      <c r="AX49" s="469"/>
      <c r="AY49" s="469"/>
      <c r="AZ49" s="470"/>
      <c r="BA49" s="140"/>
    </row>
    <row r="50" spans="5:67" ht="12" customHeight="1">
      <c r="E50" s="2123">
        <f t="shared" si="7"/>
        <v>7.6199999999999992</v>
      </c>
      <c r="F50" s="2124"/>
      <c r="G50" s="2124"/>
      <c r="H50" s="2124"/>
      <c r="I50" s="2124"/>
      <c r="J50" s="2124"/>
      <c r="K50" s="2117">
        <v>0.3</v>
      </c>
      <c r="L50" s="2118"/>
      <c r="M50" s="2118"/>
      <c r="N50" s="2118"/>
      <c r="O50" s="2118"/>
      <c r="P50" s="2118"/>
      <c r="Q50" s="2119"/>
      <c r="R50" s="2120"/>
      <c r="S50" s="2121"/>
      <c r="T50" s="2121"/>
      <c r="U50" s="2121"/>
      <c r="V50" s="2122"/>
      <c r="W50" s="2120"/>
      <c r="X50" s="2121"/>
      <c r="Y50" s="2121"/>
      <c r="Z50" s="2121"/>
      <c r="AA50" s="2122"/>
      <c r="AB50" s="2120"/>
      <c r="AC50" s="2121"/>
      <c r="AD50" s="2121"/>
      <c r="AE50" s="2121"/>
      <c r="AF50" s="2122"/>
      <c r="AG50" s="212"/>
      <c r="AH50" s="212"/>
      <c r="AI50" s="212"/>
      <c r="AJ50" s="213"/>
      <c r="AK50" s="2045" t="s">
        <v>19</v>
      </c>
      <c r="AL50" s="2046"/>
      <c r="AM50" s="2046"/>
      <c r="AN50" s="2046"/>
      <c r="AO50" s="2046"/>
      <c r="AP50" s="2046"/>
      <c r="AQ50" s="2047"/>
      <c r="AR50" s="1966" t="s">
        <v>19</v>
      </c>
      <c r="AS50" s="1966"/>
      <c r="AT50" s="1966"/>
      <c r="AU50" s="1966"/>
      <c r="AV50" s="1966"/>
      <c r="AW50" s="1966"/>
      <c r="AX50" s="1966"/>
      <c r="AY50" s="1966"/>
      <c r="AZ50" s="1967"/>
      <c r="BA50" s="140"/>
    </row>
    <row r="51" spans="5:67" ht="12" customHeight="1">
      <c r="E51" s="2123">
        <f t="shared" si="7"/>
        <v>10.16</v>
      </c>
      <c r="F51" s="2124"/>
      <c r="G51" s="2124"/>
      <c r="H51" s="2124"/>
      <c r="I51" s="2124"/>
      <c r="J51" s="2124"/>
      <c r="K51" s="2117">
        <v>0.4</v>
      </c>
      <c r="L51" s="2118"/>
      <c r="M51" s="2118"/>
      <c r="N51" s="2118"/>
      <c r="O51" s="2118"/>
      <c r="P51" s="2118"/>
      <c r="Q51" s="2119"/>
      <c r="R51" s="2120"/>
      <c r="S51" s="2121"/>
      <c r="T51" s="2121"/>
      <c r="U51" s="2121"/>
      <c r="V51" s="2122"/>
      <c r="W51" s="2120"/>
      <c r="X51" s="2121"/>
      <c r="Y51" s="2121"/>
      <c r="Z51" s="2121"/>
      <c r="AA51" s="2122"/>
      <c r="AB51" s="2120"/>
      <c r="AC51" s="2121"/>
      <c r="AD51" s="2121"/>
      <c r="AE51" s="2121"/>
      <c r="AF51" s="2122"/>
      <c r="AG51" s="212"/>
      <c r="AH51" s="212"/>
      <c r="AI51" s="212"/>
      <c r="AJ51" s="213"/>
      <c r="AK51" s="2051"/>
      <c r="AL51" s="2052"/>
      <c r="AM51" s="2052"/>
      <c r="AN51" s="2052"/>
      <c r="AO51" s="2052"/>
      <c r="AP51" s="2052"/>
      <c r="AQ51" s="2053"/>
      <c r="AR51" s="1968"/>
      <c r="AS51" s="1968"/>
      <c r="AT51" s="1968"/>
      <c r="AU51" s="1968"/>
      <c r="AV51" s="1968"/>
      <c r="AW51" s="1968"/>
      <c r="AX51" s="1968"/>
      <c r="AY51" s="1968"/>
      <c r="AZ51" s="1969"/>
      <c r="BA51" s="140"/>
    </row>
    <row r="52" spans="5:67" ht="14.1" customHeight="1">
      <c r="E52" s="2115">
        <f t="shared" si="7"/>
        <v>12.7</v>
      </c>
      <c r="F52" s="2116"/>
      <c r="G52" s="2116"/>
      <c r="H52" s="2116"/>
      <c r="I52" s="2116"/>
      <c r="J52" s="2116"/>
      <c r="K52" s="2117">
        <v>0.5</v>
      </c>
      <c r="L52" s="2118"/>
      <c r="M52" s="2118"/>
      <c r="N52" s="2118"/>
      <c r="O52" s="2118"/>
      <c r="P52" s="2118"/>
      <c r="Q52" s="2119"/>
      <c r="R52" s="2120"/>
      <c r="S52" s="2121"/>
      <c r="T52" s="2121"/>
      <c r="U52" s="2121"/>
      <c r="V52" s="2122"/>
      <c r="W52" s="2120"/>
      <c r="X52" s="2121"/>
      <c r="Y52" s="2121"/>
      <c r="Z52" s="2121"/>
      <c r="AA52" s="2122"/>
      <c r="AB52" s="2120"/>
      <c r="AC52" s="2121"/>
      <c r="AD52" s="2121"/>
      <c r="AE52" s="2121"/>
      <c r="AF52" s="2122"/>
      <c r="AG52" s="212"/>
      <c r="AH52" s="212"/>
      <c r="AI52" s="212"/>
      <c r="AJ52" s="213"/>
      <c r="AK52" s="424"/>
      <c r="AL52" s="917" t="s">
        <v>9</v>
      </c>
      <c r="AM52" s="917"/>
      <c r="AN52" s="916" t="s">
        <v>10</v>
      </c>
      <c r="AO52" s="918"/>
      <c r="AP52" s="917" t="s">
        <v>11</v>
      </c>
      <c r="AQ52" s="1525"/>
      <c r="AR52" s="1962"/>
      <c r="AS52" s="1963"/>
      <c r="AT52" s="2024" t="s">
        <v>9</v>
      </c>
      <c r="AU52" s="1999"/>
      <c r="AV52" s="2000"/>
      <c r="AW52" s="1999" t="s">
        <v>10</v>
      </c>
      <c r="AX52" s="2000"/>
      <c r="AY52" s="2024" t="s">
        <v>11</v>
      </c>
      <c r="AZ52" s="2000"/>
      <c r="BA52" s="140"/>
    </row>
    <row r="53" spans="5:67" ht="0.75" customHeight="1">
      <c r="E53" s="2111" t="s">
        <v>185</v>
      </c>
      <c r="F53" s="2112"/>
      <c r="G53" s="2112"/>
      <c r="H53" s="2112"/>
      <c r="I53" s="2112"/>
      <c r="J53" s="2112"/>
      <c r="K53" s="2112"/>
      <c r="L53" s="2112"/>
      <c r="M53" s="2112"/>
      <c r="N53" s="2112"/>
      <c r="O53" s="2112"/>
      <c r="P53" s="2112"/>
      <c r="Q53" s="2112"/>
      <c r="R53" s="2113"/>
      <c r="S53" s="2113"/>
      <c r="T53" s="2113"/>
      <c r="U53" s="2113"/>
      <c r="V53" s="2113"/>
      <c r="W53" s="2113"/>
      <c r="X53" s="2113"/>
      <c r="Y53" s="2113"/>
      <c r="Z53" s="2113"/>
      <c r="AA53" s="2113"/>
      <c r="AB53" s="2113"/>
      <c r="AC53" s="2113"/>
      <c r="AD53" s="2113"/>
      <c r="AE53" s="2113"/>
      <c r="AF53" s="2114"/>
      <c r="AG53" s="212"/>
      <c r="AH53" s="212"/>
      <c r="AI53" s="212"/>
      <c r="AJ53" s="213"/>
      <c r="AK53" s="425" t="s">
        <v>20</v>
      </c>
      <c r="AL53" s="426"/>
      <c r="AM53" s="427"/>
      <c r="AN53" s="2107"/>
      <c r="AO53" s="1152"/>
      <c r="AP53" s="427"/>
      <c r="AQ53" s="428"/>
      <c r="AR53" s="471" t="s">
        <v>20</v>
      </c>
      <c r="AS53" s="472"/>
      <c r="AT53" s="473"/>
      <c r="AU53" s="474"/>
      <c r="AV53" s="464"/>
      <c r="AW53" s="475"/>
      <c r="AX53" s="464"/>
      <c r="AY53" s="476"/>
      <c r="AZ53" s="477"/>
      <c r="BA53" s="140"/>
    </row>
    <row r="54" spans="5:67" ht="38.1" customHeight="1">
      <c r="E54" s="515" t="s">
        <v>171</v>
      </c>
      <c r="F54" s="516"/>
      <c r="G54" s="517"/>
      <c r="H54" s="517"/>
      <c r="I54" s="517"/>
      <c r="J54" s="518"/>
      <c r="K54" s="518"/>
      <c r="L54" s="518"/>
      <c r="M54" s="518"/>
      <c r="N54" s="518"/>
      <c r="O54" s="518"/>
      <c r="P54" s="518"/>
      <c r="Q54" s="519" t="s">
        <v>82</v>
      </c>
      <c r="R54" s="2106"/>
      <c r="S54" s="2106"/>
      <c r="T54" s="2106"/>
      <c r="U54" s="2106"/>
      <c r="V54" s="2106"/>
      <c r="W54" s="2106"/>
      <c r="X54" s="2106"/>
      <c r="Y54" s="2106"/>
      <c r="Z54" s="2106"/>
      <c r="AA54" s="2106"/>
      <c r="AB54" s="2106"/>
      <c r="AC54" s="2106"/>
      <c r="AD54" s="2106"/>
      <c r="AE54" s="2106"/>
      <c r="AF54" s="2106"/>
      <c r="AG54" s="212"/>
      <c r="AH54" s="212"/>
      <c r="AI54" s="212"/>
      <c r="AJ54" s="213"/>
      <c r="AK54" s="26" t="s">
        <v>12</v>
      </c>
      <c r="AL54" s="2023"/>
      <c r="AM54" s="2050"/>
      <c r="AN54" s="2048"/>
      <c r="AO54" s="2050"/>
      <c r="AP54" s="2048"/>
      <c r="AQ54" s="2049"/>
      <c r="AR54" s="937" t="s">
        <v>12</v>
      </c>
      <c r="AS54" s="939"/>
      <c r="AT54" s="1998"/>
      <c r="AU54" s="1581"/>
      <c r="AV54" s="1582"/>
      <c r="AW54" s="1581"/>
      <c r="AX54" s="1582"/>
      <c r="AY54" s="1998"/>
      <c r="AZ54" s="1582"/>
      <c r="BA54" s="140"/>
    </row>
    <row r="55" spans="5:67" ht="14.1" customHeight="1">
      <c r="E55" s="500" t="s">
        <v>173</v>
      </c>
      <c r="F55" s="520"/>
      <c r="G55" s="501"/>
      <c r="H55" s="501"/>
      <c r="I55" s="501"/>
      <c r="J55" s="502"/>
      <c r="K55" s="502"/>
      <c r="L55" s="502"/>
      <c r="M55" s="502"/>
      <c r="N55" s="502"/>
      <c r="O55" s="502"/>
      <c r="P55" s="502"/>
      <c r="Q55" s="503" t="s">
        <v>82</v>
      </c>
      <c r="R55" s="2108"/>
      <c r="S55" s="2108"/>
      <c r="T55" s="2108"/>
      <c r="U55" s="2108"/>
      <c r="V55" s="2108"/>
      <c r="W55" s="2108"/>
      <c r="X55" s="2108"/>
      <c r="Y55" s="2108"/>
      <c r="Z55" s="2108"/>
      <c r="AA55" s="2108"/>
      <c r="AB55" s="2108"/>
      <c r="AC55" s="2108"/>
      <c r="AD55" s="2108"/>
      <c r="AE55" s="2108"/>
      <c r="AF55" s="2108"/>
      <c r="AG55" s="212"/>
      <c r="AH55" s="212"/>
      <c r="AI55" s="212"/>
      <c r="AJ55" s="213"/>
      <c r="AK55" s="26" t="s">
        <v>457</v>
      </c>
      <c r="AL55" s="2054" t="s">
        <v>410</v>
      </c>
      <c r="AM55" s="2054"/>
      <c r="AN55" s="2109" t="s">
        <v>410</v>
      </c>
      <c r="AO55" s="2110"/>
      <c r="AP55" s="2054" t="s">
        <v>410</v>
      </c>
      <c r="AQ55" s="2055"/>
      <c r="AR55" s="937" t="s">
        <v>248</v>
      </c>
      <c r="AS55" s="939"/>
      <c r="AT55" s="2025" t="s">
        <v>227</v>
      </c>
      <c r="AU55" s="2001"/>
      <c r="AV55" s="2002"/>
      <c r="AW55" s="2001" t="s">
        <v>224</v>
      </c>
      <c r="AX55" s="2002"/>
      <c r="AY55" s="1996" t="s">
        <v>226</v>
      </c>
      <c r="AZ55" s="1997"/>
      <c r="BA55" s="140"/>
    </row>
    <row r="56" spans="5:67" ht="13.5" customHeight="1" thickBot="1">
      <c r="E56" s="496" t="s">
        <v>175</v>
      </c>
      <c r="F56" s="521"/>
      <c r="G56" s="522"/>
      <c r="H56" s="522"/>
      <c r="I56" s="522"/>
      <c r="J56" s="523"/>
      <c r="K56" s="523"/>
      <c r="L56" s="523"/>
      <c r="M56" s="523"/>
      <c r="N56" s="523"/>
      <c r="O56" s="523"/>
      <c r="P56" s="523"/>
      <c r="Q56" s="524" t="s">
        <v>82</v>
      </c>
      <c r="R56" s="2092"/>
      <c r="S56" s="2092"/>
      <c r="T56" s="2092"/>
      <c r="U56" s="2092"/>
      <c r="V56" s="2092"/>
      <c r="W56" s="2092"/>
      <c r="X56" s="2092"/>
      <c r="Y56" s="2092"/>
      <c r="Z56" s="2092"/>
      <c r="AA56" s="2092"/>
      <c r="AB56" s="2092"/>
      <c r="AC56" s="2092"/>
      <c r="AD56" s="2092"/>
      <c r="AE56" s="2092"/>
      <c r="AF56" s="2092"/>
      <c r="AG56" s="154"/>
      <c r="AH56" s="154"/>
      <c r="AI56" s="154"/>
      <c r="AJ56" s="208"/>
      <c r="AK56" s="27" t="s">
        <v>13</v>
      </c>
      <c r="AL56" s="2103" t="str">
        <f>IF(AL55="--","",VLOOKUP(AL55,firmas!A2:B26,2,0))</f>
        <v/>
      </c>
      <c r="AM56" s="2104"/>
      <c r="AN56" s="2105" t="str">
        <f>IF(AN55="--","",VLOOKUP(AN55,firmas!A28:B31,2,0))</f>
        <v/>
      </c>
      <c r="AO56" s="2104"/>
      <c r="AP56" s="2101" t="str">
        <f>IF(AP55="--","",VLOOKUP(AP55,firmas!A33:B34,2))</f>
        <v/>
      </c>
      <c r="AQ56" s="2102"/>
      <c r="AR56" s="1964" t="s">
        <v>13</v>
      </c>
      <c r="AS56" s="1965"/>
      <c r="AT56" s="2100" t="s">
        <v>88</v>
      </c>
      <c r="AU56" s="2098"/>
      <c r="AV56" s="2099"/>
      <c r="AW56" s="2098" t="s">
        <v>225</v>
      </c>
      <c r="AX56" s="2099"/>
      <c r="AY56" s="2096" t="s">
        <v>228</v>
      </c>
      <c r="AZ56" s="2097"/>
      <c r="BA56" s="140"/>
    </row>
    <row r="57" spans="5:67" ht="9" customHeight="1" thickTop="1" thickBot="1">
      <c r="AK57" s="2095" t="s">
        <v>14</v>
      </c>
      <c r="AL57" s="2095"/>
      <c r="AM57" s="2095"/>
      <c r="AN57" s="2095"/>
      <c r="AO57" s="2095"/>
      <c r="AP57" s="2095"/>
      <c r="AQ57" s="2095"/>
      <c r="AR57" s="2093" t="s">
        <v>23</v>
      </c>
      <c r="AS57" s="904"/>
      <c r="AT57" s="904"/>
      <c r="AU57" s="904"/>
      <c r="AV57" s="904"/>
      <c r="AW57" s="904"/>
      <c r="AX57" s="904"/>
      <c r="AY57" s="904"/>
      <c r="AZ57" s="2094"/>
      <c r="BA57" s="140"/>
      <c r="BO57" s="140" t="s">
        <v>0</v>
      </c>
    </row>
    <row r="58" spans="5:67" ht="9" customHeight="1" thickTop="1">
      <c r="AK58" s="1148"/>
      <c r="AL58" s="1148"/>
      <c r="AM58" s="1148"/>
      <c r="AN58" s="1148"/>
      <c r="AO58" s="1148"/>
      <c r="AP58" s="1148"/>
      <c r="AQ58" s="1148"/>
      <c r="AR58" s="2090" t="s">
        <v>14</v>
      </c>
      <c r="AS58" s="905"/>
      <c r="AT58" s="905"/>
      <c r="AU58" s="905"/>
      <c r="AV58" s="905"/>
      <c r="AW58" s="905"/>
      <c r="AX58" s="905"/>
      <c r="AY58" s="905"/>
      <c r="AZ58" s="905"/>
      <c r="BA58" s="140"/>
    </row>
    <row r="59" spans="5:67" ht="27.95" customHeight="1">
      <c r="R59" s="215"/>
      <c r="S59" s="215"/>
      <c r="T59" s="215"/>
      <c r="U59" s="215"/>
      <c r="V59" s="215"/>
      <c r="W59" s="215"/>
      <c r="X59" s="2069"/>
      <c r="Y59" s="2069"/>
      <c r="Z59" s="215"/>
      <c r="AA59" s="2069"/>
      <c r="AB59" s="2069"/>
      <c r="AD59" s="215"/>
      <c r="AG59" s="207"/>
      <c r="AH59" s="207"/>
      <c r="AK59" s="1078" t="s">
        <v>15</v>
      </c>
      <c r="AL59" s="1078"/>
      <c r="AM59" s="1078"/>
      <c r="AN59" s="1078"/>
      <c r="AO59" s="1078"/>
      <c r="AP59" s="1078"/>
      <c r="AQ59" s="1078"/>
      <c r="AR59" s="2091" t="s">
        <v>15</v>
      </c>
      <c r="AS59" s="1147"/>
      <c r="AT59" s="1147"/>
      <c r="AU59" s="1147"/>
      <c r="AV59" s="1147"/>
      <c r="AW59" s="1147"/>
      <c r="AX59" s="1147"/>
      <c r="AY59" s="1147"/>
      <c r="AZ59" s="1147"/>
      <c r="BA59" s="140"/>
    </row>
    <row r="60" spans="5:67" s="379" customFormat="1" ht="30" customHeight="1">
      <c r="R60" s="429"/>
      <c r="S60" s="429"/>
      <c r="T60" s="429"/>
      <c r="U60" s="429"/>
      <c r="V60" s="429"/>
      <c r="W60" s="429"/>
      <c r="X60" s="429"/>
      <c r="Y60" s="429"/>
      <c r="Z60" s="429"/>
      <c r="AA60" s="429"/>
      <c r="AB60" s="429"/>
      <c r="AC60" s="429"/>
      <c r="AD60" s="430"/>
      <c r="AE60" s="430"/>
      <c r="AF60" s="430"/>
      <c r="AG60" s="430"/>
      <c r="AH60" s="430"/>
      <c r="AJ60" s="431"/>
      <c r="AK60" s="432"/>
      <c r="AL60" s="432"/>
      <c r="AM60" s="432"/>
      <c r="AN60" s="432"/>
      <c r="AO60" s="432"/>
      <c r="AP60" s="432"/>
      <c r="AQ60" s="432"/>
      <c r="AS60" s="321"/>
      <c r="AT60" s="321"/>
      <c r="AU60" s="321"/>
      <c r="AV60" s="321"/>
      <c r="AW60" s="321"/>
      <c r="AX60" s="321"/>
      <c r="AY60" s="321"/>
      <c r="AZ60" s="321"/>
    </row>
    <row r="61" spans="5:67" s="379" customFormat="1" ht="12.75" customHeight="1" thickBot="1">
      <c r="R61" s="429"/>
      <c r="S61" s="429"/>
      <c r="T61" s="429"/>
      <c r="U61" s="429"/>
      <c r="V61" s="429"/>
      <c r="W61" s="429"/>
      <c r="X61" s="429"/>
      <c r="Y61" s="429"/>
      <c r="Z61" s="429"/>
      <c r="AA61" s="429"/>
      <c r="AB61" s="429"/>
      <c r="AC61" s="429"/>
      <c r="AD61" s="430"/>
      <c r="AE61" s="430"/>
      <c r="AF61" s="430"/>
      <c r="AG61" s="430"/>
      <c r="AH61" s="430"/>
      <c r="AJ61" s="431"/>
      <c r="AK61" s="432"/>
      <c r="AL61" s="432"/>
      <c r="AM61" s="432"/>
      <c r="AN61" s="432"/>
      <c r="AO61" s="432"/>
      <c r="AP61" s="432"/>
      <c r="AQ61" s="432"/>
      <c r="AS61" s="321"/>
      <c r="AT61" s="321"/>
      <c r="AU61" s="321"/>
      <c r="AV61" s="321"/>
      <c r="AW61" s="321"/>
      <c r="AX61" s="321"/>
      <c r="AY61" s="321"/>
      <c r="AZ61" s="321"/>
      <c r="BA61" s="432"/>
    </row>
    <row r="62" spans="5:67" s="379" customFormat="1">
      <c r="R62" s="429"/>
      <c r="S62" s="429"/>
      <c r="T62" s="429"/>
      <c r="U62" s="429"/>
      <c r="V62" s="429"/>
      <c r="W62" s="429"/>
      <c r="X62" s="429"/>
      <c r="Y62" s="429"/>
      <c r="Z62" s="429"/>
      <c r="AA62" s="429"/>
      <c r="AB62" s="429"/>
      <c r="AC62" s="429"/>
      <c r="AD62" s="430"/>
      <c r="AE62" s="430"/>
      <c r="AF62" s="430"/>
      <c r="AJ62" s="431"/>
      <c r="AK62" s="432"/>
      <c r="AL62" s="2056" t="s">
        <v>186</v>
      </c>
      <c r="AM62" s="2057"/>
      <c r="AN62" s="432"/>
      <c r="AO62" s="2060" t="s">
        <v>186</v>
      </c>
      <c r="AP62" s="2061"/>
      <c r="AQ62" s="432"/>
      <c r="AS62" s="321"/>
      <c r="AT62" s="321"/>
      <c r="AU62" s="321"/>
      <c r="AV62" s="321"/>
      <c r="AW62" s="321"/>
      <c r="AX62" s="321"/>
      <c r="AY62" s="321"/>
      <c r="AZ62" s="321"/>
      <c r="BA62" s="432"/>
    </row>
    <row r="63" spans="5:67" s="379" customFormat="1" ht="12" customHeight="1">
      <c r="R63" s="429"/>
      <c r="S63" s="429"/>
      <c r="T63" s="429"/>
      <c r="U63" s="429"/>
      <c r="V63" s="429"/>
      <c r="W63" s="429"/>
      <c r="X63" s="429"/>
      <c r="Y63" s="429"/>
      <c r="Z63" s="429"/>
      <c r="AA63" s="429"/>
      <c r="AB63" s="429"/>
      <c r="AC63" s="429"/>
      <c r="AD63" s="430"/>
      <c r="AE63" s="430"/>
      <c r="AF63" s="430"/>
      <c r="AJ63" s="431"/>
      <c r="AK63" s="432"/>
      <c r="AL63" s="2058"/>
      <c r="AM63" s="2059"/>
      <c r="AN63" s="432"/>
      <c r="AO63" s="2062"/>
      <c r="AP63" s="2063"/>
      <c r="AQ63" s="432"/>
      <c r="AS63" s="321"/>
      <c r="AT63" s="321"/>
      <c r="AU63" s="321"/>
      <c r="AV63" s="321"/>
      <c r="AW63" s="321"/>
      <c r="AX63" s="321"/>
      <c r="AY63" s="321"/>
      <c r="AZ63" s="321"/>
      <c r="BA63" s="432"/>
    </row>
    <row r="64" spans="5:67" s="2" customFormat="1" ht="54" customHeight="1" thickBot="1">
      <c r="R64" s="429"/>
      <c r="S64" s="429"/>
      <c r="T64" s="429"/>
      <c r="U64" s="429"/>
      <c r="V64" s="429"/>
      <c r="W64" s="429"/>
      <c r="X64" s="429"/>
      <c r="Y64" s="429"/>
      <c r="Z64" s="429"/>
      <c r="AA64" s="429"/>
      <c r="AB64" s="429"/>
      <c r="AC64" s="429"/>
      <c r="AD64" s="433"/>
      <c r="AE64" s="433"/>
      <c r="AF64" s="433"/>
      <c r="AJ64" s="434"/>
      <c r="AK64" s="432"/>
      <c r="AL64" s="435" t="s">
        <v>187</v>
      </c>
      <c r="AM64" s="436" t="s">
        <v>184</v>
      </c>
      <c r="AN64" s="432"/>
      <c r="AO64" s="2064" t="s">
        <v>188</v>
      </c>
      <c r="AP64" s="2066" t="str">
        <f>IF(PROCTOR!J35="","",+PROCTOR!J35)</f>
        <v/>
      </c>
      <c r="AQ64" s="432"/>
      <c r="AR64" s="379"/>
      <c r="AS64" s="321"/>
      <c r="AT64" s="321"/>
      <c r="AU64" s="321"/>
      <c r="AV64" s="321"/>
      <c r="AW64" s="321"/>
      <c r="AX64" s="321"/>
      <c r="AY64" s="321"/>
      <c r="AZ64" s="321"/>
      <c r="BA64" s="432"/>
    </row>
    <row r="65" spans="2:53" s="2" customFormat="1" ht="18.75" thickBot="1">
      <c r="R65" s="429"/>
      <c r="S65" s="429"/>
      <c r="T65" s="429"/>
      <c r="U65" s="429"/>
      <c r="V65" s="429"/>
      <c r="W65" s="429"/>
      <c r="X65" s="429"/>
      <c r="Y65" s="429"/>
      <c r="Z65" s="429"/>
      <c r="AA65" s="429"/>
      <c r="AB65" s="429"/>
      <c r="AC65" s="429"/>
      <c r="AD65" s="433"/>
      <c r="AE65" s="433"/>
      <c r="AF65" s="433"/>
      <c r="AJ65" s="434"/>
      <c r="AK65" s="432"/>
      <c r="AL65" s="437" t="str">
        <f>+AW26</f>
        <v/>
      </c>
      <c r="AM65" s="438" t="str">
        <f>+AW29</f>
        <v/>
      </c>
      <c r="AN65" s="432"/>
      <c r="AO65" s="2065"/>
      <c r="AP65" s="2067"/>
      <c r="AQ65" s="432"/>
      <c r="AR65" s="379"/>
      <c r="AS65" s="321"/>
      <c r="AT65" s="321"/>
      <c r="AU65" s="321"/>
      <c r="AV65" s="321"/>
      <c r="AW65" s="321"/>
      <c r="AX65" s="321"/>
      <c r="AY65" s="321"/>
      <c r="AZ65" s="321"/>
      <c r="BA65" s="432"/>
    </row>
    <row r="66" spans="2:53" s="2" customFormat="1" ht="14.45" customHeight="1">
      <c r="R66" s="429"/>
      <c r="S66" s="429"/>
      <c r="T66" s="429"/>
      <c r="U66" s="429"/>
      <c r="V66" s="429"/>
      <c r="W66" s="429"/>
      <c r="X66" s="429"/>
      <c r="Y66" s="429"/>
      <c r="Z66" s="429"/>
      <c r="AA66" s="429"/>
      <c r="AB66" s="429"/>
      <c r="AC66" s="429"/>
      <c r="AD66" s="433"/>
      <c r="AE66" s="433"/>
      <c r="AF66" s="433"/>
      <c r="AJ66" s="434"/>
      <c r="AK66" s="432"/>
      <c r="AL66" s="439" t="str">
        <f>+AX26</f>
        <v/>
      </c>
      <c r="AM66" s="440" t="str">
        <f>+AX29</f>
        <v/>
      </c>
      <c r="AN66" s="432"/>
      <c r="AO66" s="432"/>
      <c r="AP66" s="432"/>
      <c r="AQ66" s="432"/>
      <c r="AR66" s="379"/>
      <c r="AS66" s="321"/>
      <c r="AT66" s="321"/>
      <c r="AU66" s="321"/>
      <c r="AV66" s="321"/>
      <c r="AW66" s="321"/>
      <c r="AX66" s="321"/>
      <c r="AY66" s="321"/>
      <c r="AZ66" s="321"/>
      <c r="BA66" s="432"/>
    </row>
    <row r="67" spans="2:53" s="2" customFormat="1" ht="15.75" customHeight="1" thickBot="1">
      <c r="R67" s="429"/>
      <c r="S67" s="429"/>
      <c r="T67" s="429"/>
      <c r="U67" s="429"/>
      <c r="V67" s="429"/>
      <c r="W67" s="429"/>
      <c r="X67" s="429"/>
      <c r="Y67" s="429"/>
      <c r="Z67" s="429"/>
      <c r="AA67" s="429"/>
      <c r="AB67" s="429"/>
      <c r="AC67" s="429"/>
      <c r="AD67" s="433"/>
      <c r="AE67" s="433"/>
      <c r="AF67" s="433"/>
      <c r="AJ67" s="434"/>
      <c r="AK67" s="432"/>
      <c r="AL67" s="441" t="str">
        <f>+AY26</f>
        <v/>
      </c>
      <c r="AM67" s="442" t="str">
        <f>+AY29</f>
        <v/>
      </c>
      <c r="AN67" s="432"/>
      <c r="AO67" s="2068" t="s">
        <v>182</v>
      </c>
      <c r="AP67" s="2068" t="s">
        <v>187</v>
      </c>
      <c r="AQ67" s="432"/>
      <c r="AR67" s="379"/>
      <c r="AS67" s="321"/>
      <c r="AT67" s="321"/>
      <c r="AU67" s="321"/>
      <c r="AV67" s="321"/>
      <c r="AW67" s="321"/>
      <c r="AX67" s="321"/>
      <c r="AY67" s="321"/>
      <c r="AZ67" s="321"/>
      <c r="BA67" s="432"/>
    </row>
    <row r="68" spans="2:53" s="2" customFormat="1" ht="9.75" customHeight="1">
      <c r="R68" s="429"/>
      <c r="S68" s="429"/>
      <c r="T68" s="429"/>
      <c r="U68" s="429"/>
      <c r="V68" s="429"/>
      <c r="W68" s="429"/>
      <c r="X68" s="429"/>
      <c r="Y68" s="429"/>
      <c r="Z68" s="429"/>
      <c r="AA68" s="429"/>
      <c r="AB68" s="429"/>
      <c r="AC68" s="429"/>
      <c r="AD68" s="433"/>
      <c r="AE68" s="433"/>
      <c r="AF68" s="433"/>
      <c r="AJ68" s="434"/>
      <c r="AK68" s="432"/>
      <c r="AL68" s="443"/>
      <c r="AM68" s="443"/>
      <c r="AN68" s="432"/>
      <c r="AO68" s="2068"/>
      <c r="AP68" s="2068"/>
      <c r="AQ68" s="432"/>
      <c r="AR68" s="379"/>
      <c r="AS68" s="321"/>
      <c r="AT68" s="321"/>
      <c r="AU68" s="321"/>
      <c r="AV68" s="321"/>
      <c r="AW68" s="321"/>
      <c r="AX68" s="321"/>
      <c r="AY68" s="321"/>
      <c r="AZ68" s="321"/>
      <c r="BA68" s="432"/>
    </row>
    <row r="69" spans="2:53" s="2" customFormat="1" ht="18.75" customHeight="1">
      <c r="R69" s="429"/>
      <c r="S69" s="429"/>
      <c r="T69" s="429"/>
      <c r="U69" s="429"/>
      <c r="V69" s="429"/>
      <c r="W69" s="429"/>
      <c r="X69" s="429"/>
      <c r="Y69" s="429"/>
      <c r="Z69" s="429"/>
      <c r="AA69" s="429"/>
      <c r="AB69" s="429"/>
      <c r="AC69" s="429"/>
      <c r="AD69" s="433"/>
      <c r="AE69" s="433"/>
      <c r="AF69" s="433"/>
      <c r="AJ69" s="434"/>
      <c r="AK69" s="432"/>
      <c r="AL69" s="443"/>
      <c r="AM69" s="443"/>
      <c r="AN69" s="432"/>
      <c r="AO69" s="444">
        <v>100</v>
      </c>
      <c r="AP69" s="445" t="str">
        <f>IF(AP64="","",$AP$64*AO69/100)</f>
        <v/>
      </c>
      <c r="AQ69" s="432"/>
      <c r="AR69" s="379"/>
      <c r="AS69" s="321"/>
      <c r="AT69" s="321"/>
      <c r="AU69" s="321"/>
      <c r="AV69" s="321"/>
      <c r="AW69" s="321"/>
      <c r="AX69" s="321"/>
      <c r="AY69" s="321"/>
      <c r="AZ69" s="321"/>
      <c r="BA69" s="432"/>
    </row>
    <row r="70" spans="2:53" s="2" customFormat="1" ht="30" customHeight="1">
      <c r="R70" s="429"/>
      <c r="S70" s="429"/>
      <c r="T70" s="429"/>
      <c r="U70" s="429"/>
      <c r="V70" s="429"/>
      <c r="W70" s="429"/>
      <c r="X70" s="429"/>
      <c r="Y70" s="429"/>
      <c r="Z70" s="429"/>
      <c r="AA70" s="429"/>
      <c r="AB70" s="429"/>
      <c r="AC70" s="429"/>
      <c r="AD70" s="433"/>
      <c r="AE70" s="433"/>
      <c r="AF70" s="433"/>
      <c r="AJ70" s="434"/>
      <c r="AK70" s="2077" t="s">
        <v>189</v>
      </c>
      <c r="AL70" s="2077"/>
      <c r="AM70" s="2077"/>
      <c r="AN70" s="432"/>
      <c r="AO70" s="444">
        <v>98</v>
      </c>
      <c r="AP70" s="445" t="str">
        <f>IF(AP64="","",$AP$64*AO70/100)</f>
        <v/>
      </c>
      <c r="AQ70" s="432"/>
      <c r="AR70" s="379"/>
      <c r="AS70" s="321"/>
      <c r="AT70" s="321"/>
      <c r="AU70" s="321"/>
      <c r="AV70" s="321"/>
      <c r="AW70" s="321"/>
      <c r="AX70" s="321"/>
      <c r="AY70" s="321"/>
      <c r="AZ70" s="321"/>
      <c r="BA70" s="432"/>
    </row>
    <row r="71" spans="2:53" s="2" customFormat="1" ht="33" customHeight="1">
      <c r="R71" s="429"/>
      <c r="S71" s="429"/>
      <c r="T71" s="429"/>
      <c r="U71" s="429"/>
      <c r="V71" s="429"/>
      <c r="W71" s="429"/>
      <c r="X71" s="429"/>
      <c r="Y71" s="429"/>
      <c r="Z71" s="429"/>
      <c r="AA71" s="429"/>
      <c r="AB71" s="429"/>
      <c r="AC71" s="429"/>
      <c r="AD71" s="433"/>
      <c r="AE71" s="433"/>
      <c r="AF71" s="433"/>
      <c r="AJ71" s="434"/>
      <c r="AK71" s="2077"/>
      <c r="AL71" s="2077"/>
      <c r="AM71" s="2077"/>
      <c r="AN71" s="432"/>
      <c r="AO71" s="444">
        <v>95</v>
      </c>
      <c r="AP71" s="445" t="str">
        <f>IF(AP64="","",$AP$64*AO71/100)</f>
        <v/>
      </c>
      <c r="AQ71" s="432"/>
      <c r="AR71" s="379"/>
      <c r="AS71" s="321"/>
      <c r="AT71" s="321"/>
      <c r="AU71" s="321"/>
      <c r="AV71" s="321"/>
      <c r="AW71" s="321"/>
      <c r="AX71" s="321"/>
      <c r="AY71" s="321"/>
      <c r="AZ71" s="321"/>
      <c r="BA71" s="432"/>
    </row>
    <row r="72" spans="2:53" s="2" customFormat="1" ht="16.5" customHeight="1">
      <c r="R72" s="429"/>
      <c r="S72" s="429"/>
      <c r="T72" s="429"/>
      <c r="U72" s="429"/>
      <c r="V72" s="429"/>
      <c r="W72" s="429"/>
      <c r="X72" s="429"/>
      <c r="Y72" s="429"/>
      <c r="Z72" s="429"/>
      <c r="AA72" s="429"/>
      <c r="AB72" s="429"/>
      <c r="AC72" s="429"/>
      <c r="AD72" s="433"/>
      <c r="AE72" s="433"/>
      <c r="AF72" s="433"/>
      <c r="AJ72" s="434"/>
      <c r="AK72" s="2077" t="s">
        <v>190</v>
      </c>
      <c r="AL72" s="446" t="s">
        <v>191</v>
      </c>
      <c r="AM72" s="446" t="e">
        <f>AL90</f>
        <v>#VALUE!</v>
      </c>
      <c r="AN72" s="432"/>
      <c r="AO72" s="444">
        <v>90</v>
      </c>
      <c r="AP72" s="445" t="str">
        <f>IF(AP64="","",$AP$64*AO72/100)</f>
        <v/>
      </c>
      <c r="AQ72" s="432"/>
      <c r="AR72" s="379"/>
      <c r="AS72" s="321"/>
      <c r="AT72" s="321"/>
      <c r="AU72" s="321"/>
      <c r="AV72" s="321"/>
      <c r="AW72" s="321"/>
      <c r="AX72" s="321"/>
      <c r="AY72" s="321"/>
      <c r="AZ72" s="321"/>
      <c r="BA72" s="432"/>
    </row>
    <row r="73" spans="2:53" s="379" customFormat="1" ht="16.5" customHeight="1" thickBot="1">
      <c r="R73" s="429"/>
      <c r="S73" s="429"/>
      <c r="T73" s="429"/>
      <c r="U73" s="429"/>
      <c r="V73" s="429"/>
      <c r="W73" s="429"/>
      <c r="X73" s="429"/>
      <c r="Y73" s="429"/>
      <c r="Z73" s="429"/>
      <c r="AA73" s="429"/>
      <c r="AB73" s="429"/>
      <c r="AC73" s="429"/>
      <c r="AD73" s="430"/>
      <c r="AE73" s="430"/>
      <c r="AF73" s="430"/>
      <c r="AJ73" s="431"/>
      <c r="AK73" s="2077"/>
      <c r="AL73" s="446" t="s">
        <v>192</v>
      </c>
      <c r="AM73" s="446" t="e">
        <f>AM90</f>
        <v>#VALUE!</v>
      </c>
      <c r="AN73" s="432"/>
      <c r="AO73" s="432"/>
      <c r="AP73" s="432"/>
      <c r="AQ73" s="432"/>
      <c r="AS73" s="321"/>
      <c r="AT73" s="321"/>
      <c r="AU73" s="321"/>
      <c r="AV73" s="321"/>
      <c r="AW73" s="321"/>
      <c r="AX73" s="321"/>
      <c r="AY73" s="321"/>
      <c r="AZ73" s="321"/>
      <c r="BA73" s="432"/>
    </row>
    <row r="74" spans="2:53" s="379" customFormat="1" ht="16.5" customHeight="1" thickTop="1">
      <c r="R74" s="430"/>
      <c r="S74" s="430"/>
      <c r="T74" s="430"/>
      <c r="U74" s="430"/>
      <c r="V74" s="430"/>
      <c r="W74" s="430"/>
      <c r="X74" s="430"/>
      <c r="Y74" s="430"/>
      <c r="Z74" s="430"/>
      <c r="AA74" s="430"/>
      <c r="AB74" s="430"/>
      <c r="AC74" s="430"/>
      <c r="AD74" s="430"/>
      <c r="AE74" s="430"/>
      <c r="AF74" s="430"/>
      <c r="AJ74" s="431"/>
      <c r="AK74" s="2077"/>
      <c r="AL74" s="446" t="s">
        <v>193</v>
      </c>
      <c r="AM74" s="446" t="e">
        <f>AL92</f>
        <v>#VALUE!</v>
      </c>
      <c r="AN74" s="432"/>
      <c r="AO74" s="2078" t="s">
        <v>194</v>
      </c>
      <c r="AP74" s="2079"/>
      <c r="AQ74" s="432"/>
      <c r="AS74" s="321"/>
      <c r="AT74" s="321"/>
      <c r="AU74" s="321"/>
      <c r="AV74" s="321"/>
      <c r="AW74" s="321"/>
      <c r="AX74" s="321"/>
      <c r="AY74" s="321"/>
      <c r="AZ74" s="321"/>
      <c r="BA74" s="432"/>
    </row>
    <row r="75" spans="2:53" s="379" customFormat="1" ht="16.5" customHeight="1">
      <c r="R75" s="430"/>
      <c r="S75" s="430"/>
      <c r="T75" s="430"/>
      <c r="U75" s="430"/>
      <c r="V75" s="430"/>
      <c r="W75" s="430"/>
      <c r="X75" s="430"/>
      <c r="Y75" s="430"/>
      <c r="Z75" s="430"/>
      <c r="AA75" s="430"/>
      <c r="AB75" s="430"/>
      <c r="AC75" s="430"/>
      <c r="AD75" s="430"/>
      <c r="AE75" s="430"/>
      <c r="AF75" s="430"/>
      <c r="AJ75" s="431"/>
      <c r="AK75" s="432"/>
      <c r="AL75" s="432"/>
      <c r="AM75" s="446"/>
      <c r="AN75" s="432"/>
      <c r="AO75" s="2080"/>
      <c r="AP75" s="2081"/>
      <c r="AQ75" s="432"/>
      <c r="AS75" s="321"/>
      <c r="AT75" s="321"/>
      <c r="AU75" s="321"/>
      <c r="AV75" s="321"/>
      <c r="AW75" s="321"/>
      <c r="AX75" s="321"/>
      <c r="AY75" s="321"/>
      <c r="AZ75" s="321"/>
      <c r="BA75" s="432"/>
    </row>
    <row r="76" spans="2:53" s="379" customFormat="1" ht="16.5" customHeight="1">
      <c r="R76" s="430"/>
      <c r="S76" s="430"/>
      <c r="T76" s="430"/>
      <c r="U76" s="430"/>
      <c r="V76" s="430"/>
      <c r="W76" s="430"/>
      <c r="X76" s="430"/>
      <c r="Y76" s="430"/>
      <c r="Z76" s="430"/>
      <c r="AA76" s="430"/>
      <c r="AB76" s="430"/>
      <c r="AC76" s="430"/>
      <c r="AD76" s="430"/>
      <c r="AE76" s="430"/>
      <c r="AF76" s="430"/>
      <c r="AJ76" s="431"/>
      <c r="AK76" s="2077" t="s">
        <v>195</v>
      </c>
      <c r="AL76" s="446" t="s">
        <v>191</v>
      </c>
      <c r="AM76" s="446" t="e">
        <f>AL97</f>
        <v>#VALUE!</v>
      </c>
      <c r="AN76" s="432"/>
      <c r="AO76" s="2080"/>
      <c r="AP76" s="2081"/>
      <c r="AQ76" s="432"/>
      <c r="AS76" s="321"/>
      <c r="AT76" s="321"/>
      <c r="AU76" s="321"/>
      <c r="AV76" s="321"/>
      <c r="AW76" s="321"/>
      <c r="AX76" s="321"/>
      <c r="AY76" s="321"/>
      <c r="AZ76" s="321"/>
      <c r="BA76" s="432"/>
    </row>
    <row r="77" spans="2:53" s="379" customFormat="1" ht="16.5" customHeight="1">
      <c r="B77" s="447"/>
      <c r="C77" s="447"/>
      <c r="D77" s="447"/>
      <c r="E77" s="447"/>
      <c r="F77" s="447"/>
      <c r="G77" s="447"/>
      <c r="H77" s="447"/>
      <c r="I77" s="447"/>
      <c r="J77" s="447"/>
      <c r="K77" s="447"/>
      <c r="L77" s="447"/>
      <c r="M77" s="447"/>
      <c r="N77" s="447"/>
      <c r="O77" s="447"/>
      <c r="P77" s="447"/>
      <c r="Q77" s="447"/>
      <c r="R77" s="447"/>
      <c r="S77" s="447"/>
      <c r="T77" s="447"/>
      <c r="U77" s="447"/>
      <c r="V77" s="447"/>
      <c r="W77" s="447"/>
      <c r="X77" s="430"/>
      <c r="Y77" s="430"/>
      <c r="Z77" s="430"/>
      <c r="AA77" s="430"/>
      <c r="AB77" s="430"/>
      <c r="AC77" s="430"/>
      <c r="AD77" s="430"/>
      <c r="AE77" s="430"/>
      <c r="AF77" s="430"/>
      <c r="AJ77" s="431"/>
      <c r="AK77" s="2077"/>
      <c r="AL77" s="446" t="s">
        <v>192</v>
      </c>
      <c r="AM77" s="446" t="e">
        <f>AM97</f>
        <v>#VALUE!</v>
      </c>
      <c r="AN77" s="432"/>
      <c r="AO77" s="2080"/>
      <c r="AP77" s="2081"/>
      <c r="AQ77" s="432"/>
      <c r="AS77" s="321"/>
      <c r="AT77" s="321"/>
      <c r="AU77" s="321"/>
      <c r="AV77" s="321"/>
      <c r="AW77" s="321"/>
      <c r="AX77" s="321"/>
      <c r="AY77" s="321"/>
      <c r="AZ77" s="321"/>
      <c r="BA77" s="432"/>
    </row>
    <row r="78" spans="2:53" s="379" customFormat="1" ht="16.5" customHeight="1" thickBot="1">
      <c r="B78" s="447"/>
      <c r="C78" s="447"/>
      <c r="D78" s="447"/>
      <c r="E78" s="447"/>
      <c r="F78" s="447"/>
      <c r="G78" s="447"/>
      <c r="H78" s="447"/>
      <c r="I78" s="447"/>
      <c r="J78" s="447"/>
      <c r="K78" s="447"/>
      <c r="L78" s="447"/>
      <c r="M78" s="447"/>
      <c r="N78" s="447"/>
      <c r="O78" s="447"/>
      <c r="P78" s="447"/>
      <c r="Q78" s="447"/>
      <c r="R78" s="447"/>
      <c r="S78" s="447"/>
      <c r="T78" s="447"/>
      <c r="U78" s="447"/>
      <c r="V78" s="447"/>
      <c r="W78" s="447"/>
      <c r="X78" s="430"/>
      <c r="Y78" s="430"/>
      <c r="Z78" s="430"/>
      <c r="AA78" s="430"/>
      <c r="AB78" s="430"/>
      <c r="AC78" s="430"/>
      <c r="AD78" s="430"/>
      <c r="AE78" s="430"/>
      <c r="AF78" s="430"/>
      <c r="AJ78" s="431"/>
      <c r="AK78" s="2077"/>
      <c r="AL78" s="446" t="s">
        <v>193</v>
      </c>
      <c r="AM78" s="446" t="e">
        <f>AL99</f>
        <v>#VALUE!</v>
      </c>
      <c r="AN78" s="432"/>
      <c r="AO78" s="2082"/>
      <c r="AP78" s="2083"/>
      <c r="AQ78" s="432"/>
      <c r="AS78" s="321"/>
      <c r="AT78" s="321"/>
      <c r="AU78" s="321"/>
      <c r="AV78" s="321"/>
      <c r="AW78" s="321"/>
      <c r="AX78" s="321"/>
      <c r="AY78" s="321"/>
      <c r="AZ78" s="321"/>
      <c r="BA78" s="432"/>
    </row>
    <row r="79" spans="2:53" s="379" customFormat="1" ht="14.25" thickTop="1" thickBot="1">
      <c r="R79" s="430"/>
      <c r="S79" s="430"/>
      <c r="T79" s="430"/>
      <c r="U79" s="430"/>
      <c r="V79" s="430"/>
      <c r="W79" s="430"/>
      <c r="X79" s="430"/>
      <c r="Y79" s="430"/>
      <c r="Z79" s="430"/>
      <c r="AA79" s="430"/>
      <c r="AB79" s="430"/>
      <c r="AC79" s="430"/>
      <c r="AD79" s="430"/>
      <c r="AE79" s="430"/>
      <c r="AF79" s="430"/>
      <c r="AJ79" s="431"/>
      <c r="AK79" s="432"/>
      <c r="AL79" s="446"/>
      <c r="AM79" s="446"/>
      <c r="AN79" s="432"/>
      <c r="AO79" s="432"/>
      <c r="AP79" s="432"/>
      <c r="AQ79" s="432"/>
      <c r="AS79" s="321"/>
      <c r="AT79" s="321"/>
      <c r="AU79" s="321"/>
      <c r="AV79" s="321"/>
      <c r="AW79" s="321"/>
      <c r="AX79" s="321"/>
      <c r="AY79" s="321"/>
      <c r="AZ79" s="321"/>
      <c r="BA79" s="432"/>
    </row>
    <row r="80" spans="2:53" s="379" customFormat="1">
      <c r="R80" s="430"/>
      <c r="S80" s="430"/>
      <c r="T80" s="430"/>
      <c r="U80" s="430"/>
      <c r="V80" s="430"/>
      <c r="W80" s="430"/>
      <c r="X80" s="430"/>
      <c r="Y80" s="430"/>
      <c r="Z80" s="430"/>
      <c r="AA80" s="430"/>
      <c r="AB80" s="430"/>
      <c r="AC80" s="430"/>
      <c r="AD80" s="430"/>
      <c r="AE80" s="430"/>
      <c r="AF80" s="430"/>
      <c r="AJ80" s="431"/>
      <c r="AK80" s="432"/>
      <c r="AL80" s="2084" t="s">
        <v>182</v>
      </c>
      <c r="AM80" s="2086" t="s">
        <v>183</v>
      </c>
      <c r="AN80" s="2086" t="s">
        <v>184</v>
      </c>
      <c r="AO80" s="2088"/>
      <c r="AP80" s="432"/>
      <c r="AQ80" s="432"/>
      <c r="AS80" s="321"/>
      <c r="AT80" s="321"/>
      <c r="AU80" s="321"/>
      <c r="AV80" s="321"/>
      <c r="AW80" s="321"/>
      <c r="AX80" s="321"/>
      <c r="AY80" s="321"/>
      <c r="AZ80" s="321"/>
      <c r="BA80" s="432"/>
    </row>
    <row r="81" spans="18:53" s="379" customFormat="1">
      <c r="R81" s="430"/>
      <c r="S81" s="430"/>
      <c r="T81" s="430"/>
      <c r="U81" s="430"/>
      <c r="V81" s="430"/>
      <c r="W81" s="430"/>
      <c r="X81" s="430"/>
      <c r="Y81" s="430"/>
      <c r="Z81" s="430"/>
      <c r="AA81" s="430"/>
      <c r="AB81" s="430"/>
      <c r="AC81" s="430"/>
      <c r="AD81" s="430"/>
      <c r="AE81" s="430"/>
      <c r="AF81" s="430"/>
      <c r="AJ81" s="431"/>
      <c r="AK81" s="432"/>
      <c r="AL81" s="2085"/>
      <c r="AM81" s="2087"/>
      <c r="AN81" s="2087"/>
      <c r="AO81" s="2089"/>
      <c r="AP81" s="432"/>
      <c r="AQ81" s="432"/>
      <c r="AS81" s="321"/>
      <c r="AT81" s="321"/>
      <c r="AU81" s="321"/>
      <c r="AV81" s="321"/>
      <c r="AW81" s="321"/>
      <c r="AX81" s="321"/>
      <c r="AY81" s="321"/>
      <c r="AZ81" s="321"/>
      <c r="BA81" s="432"/>
    </row>
    <row r="82" spans="18:53" s="379" customFormat="1" ht="15" thickBot="1">
      <c r="R82" s="430"/>
      <c r="S82" s="430"/>
      <c r="T82" s="430"/>
      <c r="U82" s="430"/>
      <c r="V82" s="430"/>
      <c r="W82" s="430"/>
      <c r="X82" s="430"/>
      <c r="Y82" s="430"/>
      <c r="Z82" s="430"/>
      <c r="AA82" s="430"/>
      <c r="AB82" s="430"/>
      <c r="AC82" s="430"/>
      <c r="AD82" s="430"/>
      <c r="AE82" s="430"/>
      <c r="AF82" s="430"/>
      <c r="AJ82" s="431"/>
      <c r="AK82" s="432"/>
      <c r="AL82" s="448" t="s">
        <v>165</v>
      </c>
      <c r="AM82" s="449" t="s">
        <v>196</v>
      </c>
      <c r="AN82" s="2071" t="s">
        <v>165</v>
      </c>
      <c r="AO82" s="2072"/>
      <c r="AP82" s="432"/>
      <c r="AQ82" s="432"/>
      <c r="AS82" s="321"/>
      <c r="AT82" s="321"/>
      <c r="AU82" s="321"/>
      <c r="AV82" s="321"/>
      <c r="AW82" s="321"/>
      <c r="AX82" s="321"/>
      <c r="AY82" s="321"/>
      <c r="AZ82" s="321"/>
      <c r="BA82" s="432"/>
    </row>
    <row r="83" spans="18:53" s="379" customFormat="1" ht="15.75">
      <c r="R83" s="430"/>
      <c r="S83" s="430"/>
      <c r="T83" s="430"/>
      <c r="U83" s="430"/>
      <c r="V83" s="430"/>
      <c r="W83" s="430"/>
      <c r="X83" s="430"/>
      <c r="Y83" s="430"/>
      <c r="Z83" s="430"/>
      <c r="AA83" s="430"/>
      <c r="AB83" s="430"/>
      <c r="AC83" s="430"/>
      <c r="AD83" s="430"/>
      <c r="AE83" s="430"/>
      <c r="AF83" s="430"/>
      <c r="AJ83" s="431"/>
      <c r="AK83" s="432"/>
      <c r="AL83" s="450">
        <f t="shared" ref="AL83:AM86" si="8">AO69</f>
        <v>100</v>
      </c>
      <c r="AM83" s="451" t="str">
        <f t="shared" si="8"/>
        <v/>
      </c>
      <c r="AN83" s="2073" t="str">
        <f>IF(AND(AM83="",AL66=""),"",IF(AM83&gt;AL66,AM83*AM72+AM73,AM83*AM76+AM77))</f>
        <v/>
      </c>
      <c r="AO83" s="2074"/>
      <c r="AP83" s="432"/>
      <c r="AQ83" s="452"/>
      <c r="AS83" s="321"/>
      <c r="AT83" s="321"/>
      <c r="AU83" s="321"/>
      <c r="AV83" s="321"/>
      <c r="AW83" s="321"/>
      <c r="AX83" s="321"/>
      <c r="AY83" s="321"/>
      <c r="AZ83" s="321"/>
      <c r="BA83" s="432"/>
    </row>
    <row r="84" spans="18:53" s="379" customFormat="1" ht="15.75">
      <c r="R84" s="430"/>
      <c r="S84" s="430"/>
      <c r="T84" s="430"/>
      <c r="U84" s="430"/>
      <c r="V84" s="430"/>
      <c r="W84" s="430"/>
      <c r="X84" s="430"/>
      <c r="Y84" s="430"/>
      <c r="Z84" s="430"/>
      <c r="AA84" s="430"/>
      <c r="AB84" s="430"/>
      <c r="AC84" s="430"/>
      <c r="AD84" s="430"/>
      <c r="AE84" s="430"/>
      <c r="AF84" s="430"/>
      <c r="AJ84" s="431"/>
      <c r="AK84" s="432"/>
      <c r="AL84" s="453">
        <f t="shared" si="8"/>
        <v>98</v>
      </c>
      <c r="AM84" s="454" t="str">
        <f t="shared" si="8"/>
        <v/>
      </c>
      <c r="AN84" s="2075" t="str">
        <f>IF(AND(AM84="",AL66=""),"",IF(AM84&gt;AL66,AM84*AM72+AM73,AM84*AM76+AM77))</f>
        <v/>
      </c>
      <c r="AO84" s="2076"/>
      <c r="AP84" s="432"/>
      <c r="AQ84" s="452"/>
      <c r="AS84" s="321"/>
      <c r="AT84" s="321"/>
      <c r="AU84" s="321"/>
      <c r="AV84" s="321"/>
      <c r="AW84" s="321"/>
      <c r="AX84" s="321"/>
      <c r="AY84" s="321"/>
      <c r="AZ84" s="321"/>
      <c r="BA84" s="432"/>
    </row>
    <row r="85" spans="18:53" s="379" customFormat="1" ht="15.75">
      <c r="R85" s="430"/>
      <c r="S85" s="430"/>
      <c r="T85" s="430"/>
      <c r="U85" s="430"/>
      <c r="V85" s="430"/>
      <c r="W85" s="430"/>
      <c r="X85" s="430"/>
      <c r="Y85" s="430"/>
      <c r="Z85" s="430"/>
      <c r="AA85" s="430"/>
      <c r="AB85" s="430"/>
      <c r="AC85" s="430"/>
      <c r="AD85" s="430"/>
      <c r="AE85" s="430"/>
      <c r="AF85" s="430"/>
      <c r="AJ85" s="431"/>
      <c r="AK85" s="432"/>
      <c r="AL85" s="453">
        <f t="shared" si="8"/>
        <v>95</v>
      </c>
      <c r="AM85" s="454" t="str">
        <f t="shared" si="8"/>
        <v/>
      </c>
      <c r="AN85" s="2075" t="str">
        <f>IF(AND(AM85="",AL66=""),"",IF(AM85&gt;AL66,AM85*AM72+AM73,AM85*AM76+AM77))</f>
        <v/>
      </c>
      <c r="AO85" s="2076"/>
      <c r="AP85" s="432"/>
      <c r="AQ85" s="452"/>
      <c r="AS85" s="321"/>
      <c r="AT85" s="321"/>
      <c r="AU85" s="321"/>
      <c r="AV85" s="321"/>
      <c r="AW85" s="321"/>
      <c r="AX85" s="321"/>
      <c r="AY85" s="321"/>
      <c r="AZ85" s="321"/>
      <c r="BA85" s="432"/>
    </row>
    <row r="86" spans="18:53" s="379" customFormat="1" ht="16.5" thickBot="1">
      <c r="R86" s="430"/>
      <c r="S86" s="430"/>
      <c r="T86" s="430"/>
      <c r="U86" s="430"/>
      <c r="V86" s="430"/>
      <c r="W86" s="430"/>
      <c r="X86" s="430"/>
      <c r="Y86" s="430"/>
      <c r="Z86" s="430"/>
      <c r="AA86" s="430"/>
      <c r="AB86" s="430"/>
      <c r="AC86" s="430"/>
      <c r="AD86" s="430"/>
      <c r="AE86" s="430"/>
      <c r="AF86" s="430"/>
      <c r="AJ86" s="431"/>
      <c r="AK86" s="432"/>
      <c r="AL86" s="455">
        <f t="shared" si="8"/>
        <v>90</v>
      </c>
      <c r="AM86" s="456" t="str">
        <f t="shared" si="8"/>
        <v/>
      </c>
      <c r="AN86" s="2075" t="str">
        <f>IF(AND(AM86="",AL67=""),"",IF(AM86&gt;AL67,AM86*AM72+AM73,AM86*AM76+AM77))</f>
        <v/>
      </c>
      <c r="AO86" s="2076"/>
      <c r="AP86" s="432"/>
      <c r="AQ86" s="452"/>
      <c r="AS86" s="321"/>
      <c r="AT86" s="321"/>
      <c r="AU86" s="321"/>
      <c r="AV86" s="321"/>
      <c r="AW86" s="321"/>
      <c r="AX86" s="321"/>
      <c r="AY86" s="321"/>
      <c r="AZ86" s="321"/>
      <c r="BA86" s="432"/>
    </row>
    <row r="87" spans="18:53" s="379" customFormat="1">
      <c r="R87" s="430"/>
      <c r="S87" s="430"/>
      <c r="T87" s="430"/>
      <c r="U87" s="430"/>
      <c r="V87" s="430"/>
      <c r="W87" s="430"/>
      <c r="X87" s="430"/>
      <c r="Y87" s="430"/>
      <c r="Z87" s="430"/>
      <c r="AA87" s="430"/>
      <c r="AB87" s="430"/>
      <c r="AC87" s="430"/>
      <c r="AD87" s="430"/>
      <c r="AE87" s="430"/>
      <c r="AF87" s="430"/>
      <c r="AJ87" s="431"/>
      <c r="AK87" s="457"/>
      <c r="AL87" s="457"/>
      <c r="AM87" s="457"/>
      <c r="AN87" s="457"/>
      <c r="AO87" s="457"/>
      <c r="AP87" s="432"/>
      <c r="AQ87" s="432"/>
      <c r="AS87" s="321"/>
      <c r="AT87" s="321"/>
      <c r="AU87" s="321"/>
      <c r="AV87" s="321"/>
      <c r="AW87" s="321"/>
      <c r="AX87" s="321"/>
      <c r="AY87" s="321"/>
      <c r="AZ87" s="321"/>
      <c r="BA87" s="432"/>
    </row>
    <row r="88" spans="18:53" s="379" customFormat="1">
      <c r="R88" s="430"/>
      <c r="S88" s="430"/>
      <c r="T88" s="430"/>
      <c r="U88" s="430"/>
      <c r="V88" s="430"/>
      <c r="W88" s="430"/>
      <c r="X88" s="430"/>
      <c r="Y88" s="430"/>
      <c r="Z88" s="430"/>
      <c r="AA88" s="430"/>
      <c r="AB88" s="430"/>
      <c r="AC88" s="430"/>
      <c r="AD88" s="430"/>
      <c r="AE88" s="430"/>
      <c r="AF88" s="430"/>
      <c r="AJ88" s="431"/>
      <c r="AK88" s="457"/>
      <c r="AL88" s="457"/>
      <c r="AM88" s="457"/>
      <c r="AN88" s="457"/>
      <c r="AO88" s="457"/>
      <c r="AP88" s="458"/>
      <c r="AQ88" s="432"/>
      <c r="AS88" s="321"/>
      <c r="AT88" s="321"/>
      <c r="AU88" s="321"/>
      <c r="AV88" s="321"/>
      <c r="AW88" s="321"/>
      <c r="AX88" s="321"/>
      <c r="AY88" s="321"/>
      <c r="AZ88" s="321"/>
      <c r="BA88" s="432"/>
    </row>
    <row r="89" spans="18:53" s="379" customFormat="1">
      <c r="R89" s="430"/>
      <c r="S89" s="430"/>
      <c r="T89" s="430"/>
      <c r="U89" s="430"/>
      <c r="V89" s="430"/>
      <c r="W89" s="430"/>
      <c r="X89" s="430"/>
      <c r="Y89" s="430"/>
      <c r="Z89" s="430"/>
      <c r="AA89" s="430"/>
      <c r="AB89" s="430"/>
      <c r="AC89" s="430"/>
      <c r="AD89" s="430"/>
      <c r="AE89" s="430"/>
      <c r="AF89" s="430"/>
      <c r="AJ89" s="431"/>
      <c r="AK89" s="457"/>
      <c r="AL89" s="2070" t="s">
        <v>197</v>
      </c>
      <c r="AM89" s="2070"/>
      <c r="AN89" s="457"/>
      <c r="AO89" s="457"/>
      <c r="AP89" s="458"/>
      <c r="AQ89" s="432"/>
      <c r="AS89" s="321"/>
      <c r="AT89" s="321"/>
      <c r="AU89" s="321"/>
      <c r="AV89" s="321"/>
      <c r="AW89" s="321"/>
      <c r="AX89" s="321"/>
      <c r="AY89" s="321"/>
      <c r="AZ89" s="321"/>
      <c r="BA89" s="432"/>
    </row>
    <row r="90" spans="18:53" s="379" customFormat="1">
      <c r="R90" s="430"/>
      <c r="S90" s="430"/>
      <c r="T90" s="430"/>
      <c r="U90" s="430"/>
      <c r="V90" s="430"/>
      <c r="W90" s="430"/>
      <c r="X90" s="430"/>
      <c r="Y90" s="430"/>
      <c r="Z90" s="430"/>
      <c r="AA90" s="430"/>
      <c r="AB90" s="430"/>
      <c r="AC90" s="430"/>
      <c r="AD90" s="430"/>
      <c r="AE90" s="430"/>
      <c r="AF90" s="430"/>
      <c r="AJ90" s="431"/>
      <c r="AK90" s="457"/>
      <c r="AL90" s="457" t="e">
        <f t="array" ref="AL90:AM94">LINEST(AM65:AM66,AL65:AL66,TRUE,TRUE)</f>
        <v>#VALUE!</v>
      </c>
      <c r="AM90" s="457" t="e">
        <v>#VALUE!</v>
      </c>
      <c r="AN90" s="457"/>
      <c r="AO90" s="457" t="e">
        <f>LINEST(AL65:AL66,AM65:AM66,TRUE,TRUE)</f>
        <v>#VALUE!</v>
      </c>
      <c r="AP90" s="457" t="e">
        <f>LINEST(AL65:AL66,AM65:AM66,TRUE,FALSE)</f>
        <v>#VALUE!</v>
      </c>
      <c r="AQ90" s="432"/>
      <c r="AS90" s="321"/>
      <c r="AT90" s="321"/>
      <c r="AU90" s="321"/>
      <c r="AV90" s="321"/>
      <c r="AW90" s="321"/>
      <c r="AX90" s="321"/>
      <c r="AY90" s="321"/>
      <c r="AZ90" s="321"/>
      <c r="BA90" s="432"/>
    </row>
    <row r="91" spans="18:53" s="379" customFormat="1">
      <c r="R91" s="430"/>
      <c r="S91" s="430"/>
      <c r="T91" s="430"/>
      <c r="U91" s="430"/>
      <c r="V91" s="430"/>
      <c r="W91" s="430"/>
      <c r="X91" s="430"/>
      <c r="Y91" s="430"/>
      <c r="Z91" s="430"/>
      <c r="AA91" s="430"/>
      <c r="AB91" s="430"/>
      <c r="AC91" s="430"/>
      <c r="AD91" s="430"/>
      <c r="AE91" s="430"/>
      <c r="AF91" s="430"/>
      <c r="AJ91" s="431"/>
      <c r="AK91" s="457"/>
      <c r="AL91" s="457" t="e">
        <v>#VALUE!</v>
      </c>
      <c r="AM91" s="457" t="e">
        <v>#VALUE!</v>
      </c>
      <c r="AN91" s="457"/>
      <c r="AO91" s="457"/>
      <c r="AP91" s="458"/>
      <c r="AQ91" s="432"/>
      <c r="AS91" s="321"/>
      <c r="AT91" s="321"/>
      <c r="AU91" s="321"/>
      <c r="AV91" s="321"/>
      <c r="AW91" s="321"/>
      <c r="AX91" s="321"/>
      <c r="AY91" s="321"/>
      <c r="AZ91" s="321"/>
      <c r="BA91" s="432"/>
    </row>
    <row r="92" spans="18:53" s="379" customFormat="1">
      <c r="R92" s="430"/>
      <c r="S92" s="430"/>
      <c r="T92" s="430"/>
      <c r="U92" s="430"/>
      <c r="V92" s="430"/>
      <c r="W92" s="430"/>
      <c r="X92" s="430"/>
      <c r="Y92" s="430"/>
      <c r="Z92" s="430"/>
      <c r="AA92" s="430"/>
      <c r="AB92" s="430"/>
      <c r="AC92" s="430"/>
      <c r="AD92" s="430"/>
      <c r="AE92" s="430"/>
      <c r="AF92" s="430"/>
      <c r="AJ92" s="431"/>
      <c r="AK92" s="457"/>
      <c r="AL92" s="457" t="e">
        <v>#VALUE!</v>
      </c>
      <c r="AM92" s="457" t="e">
        <v>#VALUE!</v>
      </c>
      <c r="AN92" s="457"/>
      <c r="AO92" s="457"/>
      <c r="AP92" s="458"/>
      <c r="AQ92" s="432"/>
      <c r="AS92" s="321"/>
      <c r="AT92" s="321"/>
      <c r="AU92" s="321"/>
      <c r="AV92" s="321"/>
      <c r="AW92" s="321"/>
      <c r="AX92" s="321"/>
      <c r="AY92" s="321"/>
      <c r="AZ92" s="321"/>
      <c r="BA92" s="432"/>
    </row>
    <row r="93" spans="18:53" s="379" customFormat="1">
      <c r="R93" s="430"/>
      <c r="S93" s="430"/>
      <c r="T93" s="430"/>
      <c r="U93" s="430"/>
      <c r="V93" s="430"/>
      <c r="W93" s="430"/>
      <c r="X93" s="430"/>
      <c r="Y93" s="430"/>
      <c r="Z93" s="430"/>
      <c r="AA93" s="430"/>
      <c r="AB93" s="430"/>
      <c r="AC93" s="430"/>
      <c r="AD93" s="430"/>
      <c r="AE93" s="430"/>
      <c r="AF93" s="430"/>
      <c r="AJ93" s="431"/>
      <c r="AK93" s="457"/>
      <c r="AL93" s="457" t="e">
        <v>#VALUE!</v>
      </c>
      <c r="AM93" s="457" t="e">
        <v>#VALUE!</v>
      </c>
      <c r="AN93" s="457"/>
      <c r="AO93" s="457"/>
      <c r="AP93" s="458"/>
      <c r="AQ93" s="432"/>
      <c r="AS93" s="321"/>
      <c r="AT93" s="321"/>
      <c r="AU93" s="321"/>
      <c r="AV93" s="321"/>
      <c r="AW93" s="321"/>
      <c r="AX93" s="321"/>
      <c r="AY93" s="321"/>
      <c r="AZ93" s="321"/>
      <c r="BA93" s="432"/>
    </row>
    <row r="94" spans="18:53" s="379" customFormat="1">
      <c r="R94" s="430"/>
      <c r="S94" s="430"/>
      <c r="T94" s="430"/>
      <c r="U94" s="430"/>
      <c r="V94" s="430"/>
      <c r="W94" s="430"/>
      <c r="X94" s="430"/>
      <c r="Y94" s="430"/>
      <c r="Z94" s="430"/>
      <c r="AA94" s="430"/>
      <c r="AB94" s="430"/>
      <c r="AC94" s="430"/>
      <c r="AD94" s="430"/>
      <c r="AE94" s="430"/>
      <c r="AF94" s="430"/>
      <c r="AJ94" s="431"/>
      <c r="AK94" s="457"/>
      <c r="AL94" s="457" t="e">
        <v>#VALUE!</v>
      </c>
      <c r="AM94" s="457" t="e">
        <v>#VALUE!</v>
      </c>
      <c r="AN94" s="457"/>
      <c r="AO94" s="457"/>
      <c r="AP94" s="458"/>
      <c r="AQ94" s="432"/>
      <c r="AS94" s="321"/>
      <c r="AT94" s="321"/>
      <c r="AU94" s="321"/>
      <c r="AV94" s="321"/>
      <c r="AW94" s="321"/>
      <c r="AX94" s="321"/>
      <c r="AY94" s="321"/>
      <c r="AZ94" s="321"/>
      <c r="BA94" s="432"/>
    </row>
    <row r="95" spans="18:53" s="379" customFormat="1">
      <c r="R95" s="430"/>
      <c r="S95" s="430"/>
      <c r="T95" s="430"/>
      <c r="U95" s="430"/>
      <c r="V95" s="430"/>
      <c r="W95" s="430"/>
      <c r="X95" s="430"/>
      <c r="Y95" s="430"/>
      <c r="Z95" s="430"/>
      <c r="AA95" s="430"/>
      <c r="AB95" s="430"/>
      <c r="AC95" s="430"/>
      <c r="AD95" s="430"/>
      <c r="AE95" s="430"/>
      <c r="AF95" s="430"/>
      <c r="AJ95" s="431"/>
      <c r="AK95" s="457"/>
      <c r="AL95" s="457"/>
      <c r="AM95" s="457"/>
      <c r="AN95" s="457"/>
      <c r="AO95" s="457"/>
      <c r="AP95" s="458"/>
      <c r="AQ95" s="432"/>
      <c r="AS95" s="321"/>
      <c r="AT95" s="321"/>
      <c r="AU95" s="321"/>
      <c r="AV95" s="321"/>
      <c r="AW95" s="321"/>
      <c r="AX95" s="321"/>
      <c r="AY95" s="321"/>
      <c r="AZ95" s="321"/>
      <c r="BA95" s="432"/>
    </row>
    <row r="96" spans="18:53" s="379" customFormat="1">
      <c r="R96" s="430"/>
      <c r="S96" s="430"/>
      <c r="T96" s="430"/>
      <c r="U96" s="430"/>
      <c r="V96" s="430"/>
      <c r="W96" s="430"/>
      <c r="X96" s="430"/>
      <c r="Y96" s="430"/>
      <c r="Z96" s="430"/>
      <c r="AA96" s="430"/>
      <c r="AB96" s="430"/>
      <c r="AC96" s="430"/>
      <c r="AD96" s="430"/>
      <c r="AE96" s="430"/>
      <c r="AF96" s="430"/>
      <c r="AJ96" s="431"/>
      <c r="AK96" s="457"/>
      <c r="AL96" s="2070" t="s">
        <v>198</v>
      </c>
      <c r="AM96" s="2070"/>
      <c r="AN96" s="457"/>
      <c r="AO96" s="457"/>
      <c r="AP96" s="458"/>
      <c r="AQ96" s="432"/>
      <c r="AS96" s="321"/>
      <c r="AT96" s="321"/>
      <c r="AU96" s="321"/>
      <c r="AV96" s="321"/>
      <c r="AW96" s="321"/>
      <c r="AX96" s="321"/>
      <c r="AY96" s="321"/>
      <c r="AZ96" s="321"/>
      <c r="BA96" s="432"/>
    </row>
    <row r="97" spans="18:53" s="379" customFormat="1">
      <c r="R97" s="430"/>
      <c r="S97" s="430"/>
      <c r="T97" s="430"/>
      <c r="U97" s="430"/>
      <c r="V97" s="430"/>
      <c r="W97" s="430"/>
      <c r="X97" s="430"/>
      <c r="Y97" s="430"/>
      <c r="Z97" s="430"/>
      <c r="AA97" s="430"/>
      <c r="AB97" s="430"/>
      <c r="AC97" s="430"/>
      <c r="AD97" s="430"/>
      <c r="AE97" s="430"/>
      <c r="AF97" s="430"/>
      <c r="AJ97" s="431"/>
      <c r="AK97" s="457"/>
      <c r="AL97" s="457" t="e">
        <f t="array" ref="AL97:AM101">LINEST(AM66:AM67,AL66:AL67,TRUE,TRUE)</f>
        <v>#VALUE!</v>
      </c>
      <c r="AM97" s="457" t="e">
        <v>#VALUE!</v>
      </c>
      <c r="AN97" s="457"/>
      <c r="AO97" s="457"/>
      <c r="AP97" s="458"/>
      <c r="AQ97" s="432"/>
      <c r="AS97" s="321"/>
      <c r="AT97" s="321"/>
      <c r="AU97" s="321"/>
      <c r="AV97" s="321"/>
      <c r="AW97" s="321"/>
      <c r="AX97" s="321"/>
      <c r="AY97" s="321"/>
      <c r="AZ97" s="321"/>
      <c r="BA97" s="432"/>
    </row>
    <row r="98" spans="18:53" s="379" customFormat="1">
      <c r="R98" s="430"/>
      <c r="S98" s="430"/>
      <c r="T98" s="430"/>
      <c r="U98" s="430"/>
      <c r="V98" s="430"/>
      <c r="W98" s="430"/>
      <c r="X98" s="430"/>
      <c r="Y98" s="430"/>
      <c r="Z98" s="430"/>
      <c r="AA98" s="430"/>
      <c r="AB98" s="430"/>
      <c r="AC98" s="430"/>
      <c r="AD98" s="430"/>
      <c r="AE98" s="430"/>
      <c r="AF98" s="430"/>
      <c r="AJ98" s="431"/>
      <c r="AK98" s="457"/>
      <c r="AL98" s="457" t="e">
        <v>#VALUE!</v>
      </c>
      <c r="AM98" s="457" t="e">
        <v>#VALUE!</v>
      </c>
      <c r="AN98" s="457"/>
      <c r="AO98" s="457"/>
      <c r="AP98" s="458"/>
      <c r="AQ98" s="432"/>
      <c r="AS98" s="321"/>
      <c r="AT98" s="321"/>
      <c r="AU98" s="321"/>
      <c r="AV98" s="321"/>
      <c r="AW98" s="321"/>
      <c r="AX98" s="321"/>
      <c r="AY98" s="321"/>
      <c r="AZ98" s="321"/>
      <c r="BA98" s="432"/>
    </row>
    <row r="99" spans="18:53" s="379" customFormat="1">
      <c r="R99" s="430"/>
      <c r="S99" s="430"/>
      <c r="T99" s="430"/>
      <c r="U99" s="430"/>
      <c r="V99" s="430"/>
      <c r="W99" s="430"/>
      <c r="X99" s="430"/>
      <c r="Y99" s="430"/>
      <c r="Z99" s="430"/>
      <c r="AA99" s="430"/>
      <c r="AB99" s="430"/>
      <c r="AC99" s="430"/>
      <c r="AD99" s="430"/>
      <c r="AE99" s="430"/>
      <c r="AF99" s="430"/>
      <c r="AJ99" s="431"/>
      <c r="AK99" s="457"/>
      <c r="AL99" s="457" t="e">
        <v>#VALUE!</v>
      </c>
      <c r="AM99" s="457" t="e">
        <v>#VALUE!</v>
      </c>
      <c r="AN99" s="457"/>
      <c r="AO99" s="457"/>
      <c r="AP99" s="458"/>
      <c r="AQ99" s="432"/>
      <c r="AS99" s="321"/>
      <c r="AT99" s="321"/>
      <c r="AU99" s="321"/>
      <c r="AV99" s="321"/>
      <c r="AW99" s="321"/>
      <c r="AX99" s="321"/>
      <c r="AY99" s="321"/>
      <c r="AZ99" s="321"/>
      <c r="BA99" s="432"/>
    </row>
    <row r="100" spans="18:53" s="379" customFormat="1">
      <c r="R100" s="430"/>
      <c r="S100" s="430"/>
      <c r="T100" s="430"/>
      <c r="U100" s="430"/>
      <c r="V100" s="430"/>
      <c r="W100" s="430"/>
      <c r="X100" s="430"/>
      <c r="Y100" s="430"/>
      <c r="Z100" s="430"/>
      <c r="AA100" s="430"/>
      <c r="AB100" s="430"/>
      <c r="AC100" s="430"/>
      <c r="AD100" s="430"/>
      <c r="AE100" s="430"/>
      <c r="AF100" s="430"/>
      <c r="AJ100" s="431"/>
      <c r="AK100" s="457"/>
      <c r="AL100" s="457" t="e">
        <v>#VALUE!</v>
      </c>
      <c r="AM100" s="457" t="e">
        <v>#VALUE!</v>
      </c>
      <c r="AN100" s="457"/>
      <c r="AO100" s="457"/>
      <c r="AP100" s="458"/>
      <c r="AQ100" s="432"/>
      <c r="AS100" s="321"/>
      <c r="AT100" s="321"/>
      <c r="AU100" s="321"/>
      <c r="AV100" s="321"/>
      <c r="AW100" s="321"/>
      <c r="AX100" s="321"/>
      <c r="AY100" s="321"/>
      <c r="AZ100" s="321"/>
      <c r="BA100" s="432"/>
    </row>
    <row r="101" spans="18:53" s="379" customFormat="1">
      <c r="R101" s="430"/>
      <c r="S101" s="430"/>
      <c r="T101" s="430"/>
      <c r="U101" s="430"/>
      <c r="V101" s="430"/>
      <c r="W101" s="430"/>
      <c r="X101" s="430"/>
      <c r="Y101" s="430"/>
      <c r="Z101" s="430"/>
      <c r="AA101" s="430"/>
      <c r="AB101" s="430"/>
      <c r="AC101" s="430"/>
      <c r="AD101" s="430"/>
      <c r="AE101" s="430"/>
      <c r="AF101" s="430"/>
      <c r="AJ101" s="431"/>
      <c r="AK101" s="457"/>
      <c r="AL101" s="457" t="e">
        <v>#VALUE!</v>
      </c>
      <c r="AM101" s="457" t="e">
        <v>#VALUE!</v>
      </c>
      <c r="AN101" s="457"/>
      <c r="AO101" s="457"/>
      <c r="AP101" s="458"/>
      <c r="AQ101" s="432"/>
      <c r="AS101" s="458"/>
      <c r="AT101" s="458"/>
      <c r="AU101" s="458"/>
      <c r="AV101" s="458"/>
      <c r="AW101" s="458"/>
      <c r="AX101" s="458"/>
      <c r="AY101" s="458"/>
      <c r="AZ101" s="432"/>
      <c r="BA101" s="432"/>
    </row>
    <row r="102" spans="18:53" s="379" customFormat="1">
      <c r="R102" s="430"/>
      <c r="S102" s="430"/>
      <c r="T102" s="430"/>
      <c r="U102" s="430"/>
      <c r="V102" s="430"/>
      <c r="W102" s="430"/>
      <c r="X102" s="430"/>
      <c r="Y102" s="430"/>
      <c r="Z102" s="430"/>
      <c r="AA102" s="430"/>
      <c r="AB102" s="430"/>
      <c r="AC102" s="430"/>
      <c r="AD102" s="430"/>
      <c r="AE102" s="430"/>
      <c r="AF102" s="430"/>
      <c r="AJ102" s="431"/>
      <c r="AK102" s="457"/>
      <c r="AL102" s="457"/>
      <c r="AM102" s="457"/>
      <c r="AN102" s="457"/>
      <c r="AO102" s="457"/>
      <c r="AP102" s="458"/>
      <c r="AQ102" s="432"/>
      <c r="AS102" s="458"/>
      <c r="AT102" s="458"/>
      <c r="AU102" s="458"/>
      <c r="AV102" s="458"/>
      <c r="AW102" s="458"/>
      <c r="AX102" s="458"/>
      <c r="AY102" s="458"/>
      <c r="AZ102" s="432"/>
      <c r="BA102" s="432"/>
    </row>
    <row r="103" spans="18:53" s="379" customFormat="1">
      <c r="R103" s="430"/>
      <c r="S103" s="430"/>
      <c r="T103" s="430"/>
      <c r="U103" s="430"/>
      <c r="V103" s="430"/>
      <c r="W103" s="430"/>
      <c r="X103" s="430"/>
      <c r="Y103" s="430"/>
      <c r="Z103" s="430"/>
      <c r="AA103" s="430"/>
      <c r="AB103" s="430"/>
      <c r="AC103" s="430"/>
      <c r="AD103" s="430"/>
      <c r="AE103" s="430"/>
      <c r="AF103" s="430"/>
      <c r="AJ103" s="431"/>
      <c r="AK103" s="457"/>
      <c r="AL103" s="457"/>
      <c r="AM103" s="457"/>
      <c r="AN103" s="457"/>
      <c r="AO103" s="457"/>
      <c r="AP103" s="458"/>
      <c r="AQ103" s="432"/>
      <c r="AS103" s="458"/>
      <c r="AT103" s="458"/>
      <c r="AU103" s="458"/>
      <c r="AV103" s="458"/>
      <c r="AW103" s="458"/>
      <c r="AX103" s="458"/>
      <c r="AY103" s="458"/>
      <c r="AZ103" s="432"/>
      <c r="BA103" s="432"/>
    </row>
    <row r="104" spans="18:53" s="379" customFormat="1">
      <c r="R104" s="430"/>
      <c r="S104" s="430"/>
      <c r="T104" s="430"/>
      <c r="U104" s="430"/>
      <c r="V104" s="430"/>
      <c r="W104" s="430"/>
      <c r="X104" s="430"/>
      <c r="Y104" s="430"/>
      <c r="Z104" s="430"/>
      <c r="AA104" s="430"/>
      <c r="AB104" s="430"/>
      <c r="AC104" s="430"/>
      <c r="AD104" s="430"/>
      <c r="AE104" s="430"/>
      <c r="AF104" s="430"/>
      <c r="AJ104" s="431"/>
      <c r="AK104" s="459"/>
      <c r="AL104" s="459"/>
      <c r="AM104" s="459"/>
      <c r="AN104" s="459"/>
      <c r="AO104" s="459"/>
      <c r="AS104" s="458"/>
      <c r="AT104" s="458"/>
      <c r="AU104" s="458"/>
      <c r="AV104" s="458"/>
      <c r="AW104" s="458"/>
      <c r="AX104" s="458"/>
      <c r="AY104" s="458"/>
      <c r="AZ104" s="432"/>
      <c r="BA104" s="432"/>
    </row>
    <row r="105" spans="18:53">
      <c r="AS105" s="432"/>
      <c r="AT105" s="432"/>
      <c r="AU105" s="432"/>
      <c r="AV105" s="432"/>
      <c r="AW105" s="432"/>
      <c r="AX105" s="432"/>
      <c r="AY105" s="432"/>
      <c r="AZ105" s="432"/>
      <c r="BA105" s="216"/>
    </row>
    <row r="106" spans="18:53">
      <c r="AS106" s="432"/>
      <c r="AT106" s="432"/>
      <c r="AU106" s="432"/>
      <c r="AV106" s="432"/>
      <c r="AW106" s="432"/>
      <c r="AX106" s="432"/>
      <c r="AY106" s="432"/>
      <c r="AZ106" s="432"/>
      <c r="BA106" s="216"/>
    </row>
    <row r="107" spans="18:53">
      <c r="AS107" s="432"/>
      <c r="AT107" s="432"/>
      <c r="AU107" s="432"/>
      <c r="AV107" s="432"/>
      <c r="AW107" s="432"/>
      <c r="AX107" s="432"/>
      <c r="AY107" s="432"/>
      <c r="AZ107" s="432"/>
      <c r="BA107" s="216"/>
    </row>
    <row r="108" spans="18:53">
      <c r="AS108" s="432"/>
      <c r="AT108" s="432"/>
      <c r="AU108" s="432"/>
      <c r="AV108" s="432"/>
      <c r="AW108" s="432"/>
      <c r="AX108" s="432"/>
      <c r="AY108" s="432"/>
      <c r="AZ108" s="432"/>
      <c r="BA108" s="216"/>
    </row>
    <row r="109" spans="18:53">
      <c r="AS109" s="432"/>
      <c r="AT109" s="432"/>
      <c r="AU109" s="432"/>
      <c r="AV109" s="432"/>
      <c r="AW109" s="432"/>
      <c r="AX109" s="432"/>
      <c r="AY109" s="432"/>
      <c r="AZ109" s="432"/>
      <c r="BA109" s="216"/>
    </row>
    <row r="110" spans="18:53">
      <c r="AS110" s="432"/>
      <c r="AT110" s="432"/>
      <c r="AU110" s="432"/>
      <c r="AV110" s="432"/>
      <c r="AW110" s="432"/>
      <c r="AX110" s="432"/>
      <c r="AY110" s="432"/>
      <c r="AZ110" s="432"/>
      <c r="BA110" s="216"/>
    </row>
    <row r="111" spans="18:53">
      <c r="AS111" s="432"/>
      <c r="AT111" s="432"/>
      <c r="AU111" s="432"/>
      <c r="AV111" s="432"/>
      <c r="AW111" s="432"/>
      <c r="AX111" s="432"/>
      <c r="AY111" s="432"/>
      <c r="AZ111" s="432"/>
      <c r="BA111" s="216"/>
    </row>
    <row r="112" spans="18:53">
      <c r="AS112" s="432"/>
      <c r="AT112" s="432"/>
      <c r="AU112" s="432"/>
      <c r="AV112" s="432"/>
      <c r="AW112" s="432"/>
      <c r="AX112" s="432"/>
      <c r="AY112" s="432"/>
      <c r="AZ112" s="432"/>
      <c r="BA112" s="216"/>
    </row>
    <row r="113" spans="45:53">
      <c r="AS113" s="432"/>
      <c r="AT113" s="432"/>
      <c r="AU113" s="432"/>
      <c r="AV113" s="432"/>
      <c r="AW113" s="432"/>
      <c r="AX113" s="432"/>
      <c r="AY113" s="432"/>
      <c r="AZ113" s="432"/>
      <c r="BA113" s="216"/>
    </row>
    <row r="114" spans="45:53">
      <c r="AS114" s="432"/>
      <c r="AT114" s="432"/>
      <c r="AU114" s="432"/>
      <c r="AV114" s="432"/>
      <c r="AW114" s="432"/>
      <c r="AX114" s="432"/>
      <c r="AY114" s="432"/>
      <c r="AZ114" s="432"/>
      <c r="BA114" s="216"/>
    </row>
    <row r="115" spans="45:53">
      <c r="BA115" s="216"/>
    </row>
    <row r="116" spans="45:53">
      <c r="BA116" s="216"/>
    </row>
    <row r="117" spans="45:53">
      <c r="BA117" s="216"/>
    </row>
  </sheetData>
  <sheetProtection algorithmName="SHA-512" hashValue="V2nY5li7bJ71SS/c6NJD8hiqylwjJ7bvw9cLa9rLEjrF3RP7R4D2V16QNwq9nlsFrScWFuqETUIVnev5bRvxuQ==" saltValue="v9KVhIh1/n2you6QPtltOQ==" spinCount="100000" sheet="1" formatCells="0" formatColumns="0" formatRows="0"/>
  <mergeCells count="259">
    <mergeCell ref="AP12:AQ12"/>
    <mergeCell ref="AL13:AM13"/>
    <mergeCell ref="AN13:AO13"/>
    <mergeCell ref="AP13:AQ13"/>
    <mergeCell ref="AO10:AP10"/>
    <mergeCell ref="AL11:AM11"/>
    <mergeCell ref="AN11:AO11"/>
    <mergeCell ref="AP11:AQ11"/>
    <mergeCell ref="AK1:AK5"/>
    <mergeCell ref="AL1:AQ1"/>
    <mergeCell ref="AL2:AQ2"/>
    <mergeCell ref="AL3:AQ3"/>
    <mergeCell ref="AL4:AO4"/>
    <mergeCell ref="AP4:AQ4"/>
    <mergeCell ref="AL5:AQ5"/>
    <mergeCell ref="AL6:AN6"/>
    <mergeCell ref="AL9:AN9"/>
    <mergeCell ref="AL12:AM12"/>
    <mergeCell ref="AN12:AO12"/>
    <mergeCell ref="AO8:AP8"/>
    <mergeCell ref="P26:Q26"/>
    <mergeCell ref="R26:V26"/>
    <mergeCell ref="W26:AA26"/>
    <mergeCell ref="AB26:AF26"/>
    <mergeCell ref="E28:AF28"/>
    <mergeCell ref="R24:AF24"/>
    <mergeCell ref="P25:Q25"/>
    <mergeCell ref="R25:V25"/>
    <mergeCell ref="W25:AA25"/>
    <mergeCell ref="AB25:AF25"/>
    <mergeCell ref="E31:AF31"/>
    <mergeCell ref="AB32:AF32"/>
    <mergeCell ref="R30:V30"/>
    <mergeCell ref="W30:AA30"/>
    <mergeCell ref="AB30:AF30"/>
    <mergeCell ref="AL29:AM29"/>
    <mergeCell ref="AN29:AO29"/>
    <mergeCell ref="AP29:AQ29"/>
    <mergeCell ref="E29:Q29"/>
    <mergeCell ref="R29:V29"/>
    <mergeCell ref="W29:AA29"/>
    <mergeCell ref="AB29:AF29"/>
    <mergeCell ref="AL30:AM30"/>
    <mergeCell ref="AN30:AO30"/>
    <mergeCell ref="AP30:AQ30"/>
    <mergeCell ref="R32:V32"/>
    <mergeCell ref="W32:AA32"/>
    <mergeCell ref="AK31:AQ49"/>
    <mergeCell ref="E35:AF35"/>
    <mergeCell ref="R36:V36"/>
    <mergeCell ref="W36:AA36"/>
    <mergeCell ref="AB36:AF36"/>
    <mergeCell ref="R37:V37"/>
    <mergeCell ref="W37:AA37"/>
    <mergeCell ref="AB37:AF37"/>
    <mergeCell ref="R33:V33"/>
    <mergeCell ref="W33:AA33"/>
    <mergeCell ref="AB33:AF33"/>
    <mergeCell ref="R34:V34"/>
    <mergeCell ref="W34:AA34"/>
    <mergeCell ref="AB34:AF34"/>
    <mergeCell ref="E40:J40"/>
    <mergeCell ref="K40:Q40"/>
    <mergeCell ref="R40:AF40"/>
    <mergeCell ref="E41:J41"/>
    <mergeCell ref="K41:Q41"/>
    <mergeCell ref="R41:V41"/>
    <mergeCell ref="W41:AA41"/>
    <mergeCell ref="AB41:AF41"/>
    <mergeCell ref="E38:J38"/>
    <mergeCell ref="M38:Q38"/>
    <mergeCell ref="R38:V38"/>
    <mergeCell ref="W38:Y38"/>
    <mergeCell ref="Z38:AF38"/>
    <mergeCell ref="E39:AF39"/>
    <mergeCell ref="E42:J42"/>
    <mergeCell ref="K42:Q42"/>
    <mergeCell ref="R42:V42"/>
    <mergeCell ref="W42:AA42"/>
    <mergeCell ref="AB42:AF42"/>
    <mergeCell ref="E43:J43"/>
    <mergeCell ref="K43:Q43"/>
    <mergeCell ref="R43:V43"/>
    <mergeCell ref="W43:AA43"/>
    <mergeCell ref="AB43:AF43"/>
    <mergeCell ref="E44:J44"/>
    <mergeCell ref="K44:Q44"/>
    <mergeCell ref="R44:V44"/>
    <mergeCell ref="W44:AA44"/>
    <mergeCell ref="AB44:AF44"/>
    <mergeCell ref="E45:J45"/>
    <mergeCell ref="K45:Q45"/>
    <mergeCell ref="R45:V45"/>
    <mergeCell ref="W45:AA45"/>
    <mergeCell ref="AB45:AF45"/>
    <mergeCell ref="E46:J46"/>
    <mergeCell ref="K46:Q46"/>
    <mergeCell ref="R46:V46"/>
    <mergeCell ref="W46:AA46"/>
    <mergeCell ref="AB46:AF46"/>
    <mergeCell ref="E47:J47"/>
    <mergeCell ref="K47:Q47"/>
    <mergeCell ref="R47:V47"/>
    <mergeCell ref="W47:AA47"/>
    <mergeCell ref="AB47:AF47"/>
    <mergeCell ref="E48:J48"/>
    <mergeCell ref="K48:Q48"/>
    <mergeCell ref="R48:V48"/>
    <mergeCell ref="W48:AA48"/>
    <mergeCell ref="AB48:AF48"/>
    <mergeCell ref="E49:J49"/>
    <mergeCell ref="K49:Q49"/>
    <mergeCell ref="R49:V49"/>
    <mergeCell ref="W49:AA49"/>
    <mergeCell ref="AB49:AF49"/>
    <mergeCell ref="E52:J52"/>
    <mergeCell ref="K52:Q52"/>
    <mergeCell ref="R52:V52"/>
    <mergeCell ref="W52:AA52"/>
    <mergeCell ref="AB52:AF52"/>
    <mergeCell ref="E50:J50"/>
    <mergeCell ref="K50:Q50"/>
    <mergeCell ref="R50:V50"/>
    <mergeCell ref="W50:AA50"/>
    <mergeCell ref="AB50:AF50"/>
    <mergeCell ref="E51:J51"/>
    <mergeCell ref="K51:Q51"/>
    <mergeCell ref="R51:V51"/>
    <mergeCell ref="W51:AA51"/>
    <mergeCell ref="AB51:AF51"/>
    <mergeCell ref="R54:V54"/>
    <mergeCell ref="W54:AA54"/>
    <mergeCell ref="AB54:AF54"/>
    <mergeCell ref="AN53:AO53"/>
    <mergeCell ref="R55:V55"/>
    <mergeCell ref="W55:AA55"/>
    <mergeCell ref="AB55:AF55"/>
    <mergeCell ref="AN55:AO55"/>
    <mergeCell ref="AL55:AM55"/>
    <mergeCell ref="E53:AF53"/>
    <mergeCell ref="AR58:AZ58"/>
    <mergeCell ref="AK59:AQ59"/>
    <mergeCell ref="AR59:AZ59"/>
    <mergeCell ref="R56:V56"/>
    <mergeCell ref="W56:AA56"/>
    <mergeCell ref="AB56:AF56"/>
    <mergeCell ref="AR57:AZ57"/>
    <mergeCell ref="AK57:AQ58"/>
    <mergeCell ref="AY56:AZ56"/>
    <mergeCell ref="AW56:AX56"/>
    <mergeCell ref="AT56:AV56"/>
    <mergeCell ref="AP56:AQ56"/>
    <mergeCell ref="AL56:AM56"/>
    <mergeCell ref="AN56:AO56"/>
    <mergeCell ref="AL62:AM63"/>
    <mergeCell ref="AO62:AP63"/>
    <mergeCell ref="AO64:AO65"/>
    <mergeCell ref="AP64:AP65"/>
    <mergeCell ref="AO67:AO68"/>
    <mergeCell ref="AP67:AP68"/>
    <mergeCell ref="X59:Y59"/>
    <mergeCell ref="AA59:AB59"/>
    <mergeCell ref="AL96:AM96"/>
    <mergeCell ref="AN82:AO82"/>
    <mergeCell ref="AN83:AO83"/>
    <mergeCell ref="AN84:AO84"/>
    <mergeCell ref="AN85:AO85"/>
    <mergeCell ref="AN86:AO86"/>
    <mergeCell ref="AL89:AM89"/>
    <mergeCell ref="AK70:AM71"/>
    <mergeCell ref="AK72:AK74"/>
    <mergeCell ref="AO74:AP78"/>
    <mergeCell ref="AK76:AK78"/>
    <mergeCell ref="AL80:AL81"/>
    <mergeCell ref="AM80:AM81"/>
    <mergeCell ref="AN80:AO81"/>
    <mergeCell ref="AK50:AQ50"/>
    <mergeCell ref="AP54:AQ54"/>
    <mergeCell ref="AN54:AO54"/>
    <mergeCell ref="AL54:AM54"/>
    <mergeCell ref="AK51:AQ51"/>
    <mergeCell ref="AP55:AQ55"/>
    <mergeCell ref="AL52:AM52"/>
    <mergeCell ref="AN52:AO52"/>
    <mergeCell ref="AP52:AQ52"/>
    <mergeCell ref="AR27:AS27"/>
    <mergeCell ref="AR28:AS28"/>
    <mergeCell ref="AR29:AS29"/>
    <mergeCell ref="AR26:AS26"/>
    <mergeCell ref="AO14:AO15"/>
    <mergeCell ref="AN14:AN15"/>
    <mergeCell ref="AM14:AM15"/>
    <mergeCell ref="AL14:AL15"/>
    <mergeCell ref="AK14:AK15"/>
    <mergeCell ref="AP28:AQ28"/>
    <mergeCell ref="AL28:AM28"/>
    <mergeCell ref="AN28:AO28"/>
    <mergeCell ref="AP14:AP15"/>
    <mergeCell ref="AQ14:AQ15"/>
    <mergeCell ref="AR10:AV10"/>
    <mergeCell ref="AR18:AZ18"/>
    <mergeCell ref="AR25:AZ25"/>
    <mergeCell ref="AR19:AS19"/>
    <mergeCell ref="AR20:AS20"/>
    <mergeCell ref="AR21:AS21"/>
    <mergeCell ref="AR22:AS22"/>
    <mergeCell ref="AR23:AS23"/>
    <mergeCell ref="AR24:AS24"/>
    <mergeCell ref="AR11:AS11"/>
    <mergeCell ref="AR12:AS12"/>
    <mergeCell ref="AR13:AS13"/>
    <mergeCell ref="AR14:AS14"/>
    <mergeCell ref="AR15:AS15"/>
    <mergeCell ref="AR16:AS16"/>
    <mergeCell ref="AR17:AS17"/>
    <mergeCell ref="AY54:AZ54"/>
    <mergeCell ref="AW52:AX52"/>
    <mergeCell ref="AW54:AX54"/>
    <mergeCell ref="AW55:AX55"/>
    <mergeCell ref="AX47:AY47"/>
    <mergeCell ref="AX46:AY46"/>
    <mergeCell ref="AX45:AY45"/>
    <mergeCell ref="AU11:AV11"/>
    <mergeCell ref="AW35:AZ36"/>
    <mergeCell ref="AX44:AY44"/>
    <mergeCell ref="AX42:AY43"/>
    <mergeCell ref="AX38:AY38"/>
    <mergeCell ref="AX37:AY37"/>
    <mergeCell ref="AX33:AY33"/>
    <mergeCell ref="AX32:AY32"/>
    <mergeCell ref="AW31:AZ31"/>
    <mergeCell ref="AT52:AV52"/>
    <mergeCell ref="AT54:AV54"/>
    <mergeCell ref="AY52:AZ52"/>
    <mergeCell ref="AT55:AV55"/>
    <mergeCell ref="AR52:AS52"/>
    <mergeCell ref="AR54:AS54"/>
    <mergeCell ref="AR55:AS55"/>
    <mergeCell ref="AR56:AS56"/>
    <mergeCell ref="AR50:AZ50"/>
    <mergeCell ref="AR51:AZ51"/>
    <mergeCell ref="AT1:AZ1"/>
    <mergeCell ref="AT2:AZ2"/>
    <mergeCell ref="AT3:AZ3"/>
    <mergeCell ref="AT4:AW4"/>
    <mergeCell ref="AT5:AZ5"/>
    <mergeCell ref="AX9:AY9"/>
    <mergeCell ref="AX8:AY8"/>
    <mergeCell ref="AX7:AY7"/>
    <mergeCell ref="AX6:AY6"/>
    <mergeCell ref="AS6:AW6"/>
    <mergeCell ref="AS7:AW7"/>
    <mergeCell ref="AS8:AW8"/>
    <mergeCell ref="AS9:AW9"/>
    <mergeCell ref="AX4:AZ4"/>
    <mergeCell ref="AR1:AS5"/>
    <mergeCell ref="AW42:AW43"/>
    <mergeCell ref="AZ42:AZ43"/>
    <mergeCell ref="AY55:AZ55"/>
  </mergeCells>
  <printOptions horizontalCentered="1"/>
  <pageMargins left="0.59055118110236227" right="0.19685039370078741" top="0" bottom="0" header="0" footer="0.78740157480314965"/>
  <pageSetup orientation="portrait" copies="2" r:id="rId1"/>
  <headerFooter scaleWithDoc="0">
    <oddHeader xml:space="preserve">&amp;L&amp;"Eurostile Extended,Regular Negrita"&amp;16
</oddHeader>
    <oddFooter>&amp;L&amp;6Calle 26 No. 57-41 Torre 8 Pisos 7-8 CEMSA - CP: 1113111            
Pbx: 3779555  - Información: Línea 195     
www.umv.gov.co111311&amp;C&amp;6PRO-FM-008
Página 1 de 2</oddFooter>
  </headerFooter>
  <colBreaks count="2" manualBreakCount="2">
    <brk id="36" max="58" man="1"/>
    <brk id="43" max="58" man="1"/>
  </colBreaks>
  <ignoredErrors>
    <ignoredError sqref="AP16:AP27 AN16:AN27 AN29" formula="1"/>
    <ignoredError sqref="AZ46:AZ47 AX46" evalError="1"/>
  </ignoredError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firmas!$A$2:$A$26</xm:f>
          </x14:formula1>
          <xm:sqref>AL55:AM55</xm:sqref>
        </x14:dataValidation>
        <x14:dataValidation type="list" allowBlank="1" showInputMessage="1" showErrorMessage="1">
          <x14:formula1>
            <xm:f>firmas!$A$28:$A$31</xm:f>
          </x14:formula1>
          <xm:sqref>AN55:AO55</xm:sqref>
        </x14:dataValidation>
        <x14:dataValidation type="list" allowBlank="1" showInputMessage="1" showErrorMessage="1">
          <x14:formula1>
            <xm:f>firmas!$A$33:$A$35</xm:f>
          </x14:formula1>
          <xm:sqref>AP55:AQ55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13</vt:i4>
      </vt:variant>
    </vt:vector>
  </HeadingPairs>
  <TitlesOfParts>
    <vt:vector size="25" baseType="lpstr">
      <vt:lpstr>Desgaste</vt:lpstr>
      <vt:lpstr>Microdeval </vt:lpstr>
      <vt:lpstr>10% De Finos</vt:lpstr>
      <vt:lpstr> HUMEDAD</vt:lpstr>
      <vt:lpstr>Gradacion </vt:lpstr>
      <vt:lpstr>CF - IF </vt:lpstr>
      <vt:lpstr>ANGULARIDAD</vt:lpstr>
      <vt:lpstr>PROCTOR</vt:lpstr>
      <vt:lpstr> CBR 1</vt:lpstr>
      <vt:lpstr> CBR (2)</vt:lpstr>
      <vt:lpstr>firmas</vt:lpstr>
      <vt:lpstr>Hoja1</vt:lpstr>
      <vt:lpstr>aprobonombres</vt:lpstr>
      <vt:lpstr>' CBR (2)'!Área_de_impresión</vt:lpstr>
      <vt:lpstr>' CBR 1'!Área_de_impresión</vt:lpstr>
      <vt:lpstr>' HUMEDAD'!Área_de_impresión</vt:lpstr>
      <vt:lpstr>'10% De Finos'!Área_de_impresión</vt:lpstr>
      <vt:lpstr>ANGULARIDAD!Área_de_impresión</vt:lpstr>
      <vt:lpstr>'CF - IF '!Área_de_impresión</vt:lpstr>
      <vt:lpstr>Desgaste!Área_de_impresión</vt:lpstr>
      <vt:lpstr>'Gradacion '!Área_de_impresión</vt:lpstr>
      <vt:lpstr>'Microdeval '!Área_de_impresión</vt:lpstr>
      <vt:lpstr>PROCTOR!Área_de_impresión</vt:lpstr>
      <vt:lpstr>Elaboronombres</vt:lpstr>
      <vt:lpstr>revisonombres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Sonia Gaviria</dc:creator>
  <cp:lastModifiedBy>Mercy Alejandra Rivera Fonseca</cp:lastModifiedBy>
  <cp:lastPrinted>2024-12-17T16:24:36Z</cp:lastPrinted>
  <dcterms:created xsi:type="dcterms:W3CDTF">2015-07-10T04:28:05Z</dcterms:created>
  <dcterms:modified xsi:type="dcterms:W3CDTF">2024-12-17T19:29:23Z</dcterms:modified>
</cp:coreProperties>
</file>