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Acreditacion\1. Control de documentos\1. Aprobaciones\56. Aprobaciones 2022-09-\1. Formatos\"/>
    </mc:Choice>
  </mc:AlternateContent>
  <bookViews>
    <workbookView xWindow="0" yWindow="0" windowWidth="20490" windowHeight="7020"/>
  </bookViews>
  <sheets>
    <sheet name="6. Clasificación M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C" localSheetId="0" hidden="1">#REF!</definedName>
    <definedName name="AC" hidden="1">#REF!</definedName>
    <definedName name="aprobo">INDEX([4]firmas!$C$33:$C$35,MATCH('[4]INV 222-13 '!$AA$45:$AJ$45,[4]firmas!$A$33:$A$35,0))</definedName>
    <definedName name="APROBO_A">INDEX([5]firmas!$C$33:$C$35,MATCH([5]ANGULARIDAD!$AK$29,[5]firmas!$A$33:$A$35,0))</definedName>
    <definedName name="Aprobo_Gra_1">INDEX([6]firmas!$C$39:$C$41,MATCH('[6]4. CLASIFICACION M1'!$J$48:$P$48,[6]firmas!$A$39:$A$41,0))</definedName>
    <definedName name="Aprobo_Gra_2">INDEX([6]firmas!$C$39:$C$41,MATCH('[6]8. CLASIFICACION M2'!$J$48:$P$48,[6]firmas!$A$39:$A$41,0))</definedName>
    <definedName name="Aprobo_Gra_3">INDEX([6]firmas!$C$39:$C$41,MATCH('[6]12. CLASIFICACION M3'!$J$48:$P$48,[6]firmas!$A$39:$A$41,0))</definedName>
    <definedName name="aprobofirmas">INDEX([7]firmas!$C$33:$C$35,MATCH('[7]LIMITES M3'!$C$52:$E$52,[7]firmas!$A$33:$A$35,0))</definedName>
    <definedName name="aprobofirmas1" localSheetId="0">INDEX([8]firmas!$C$33:$C$35,MATCH('[8]REG FOTOGRAFICO'!$N$55:$Q$55,[8]firmas!$A$33:$A$35,0))</definedName>
    <definedName name="aprobofirmas1">INDEX([9]firmas!$C$33:$C$35,MATCH('[10]3. Reg fotografico'!#REF!,[9]firmas!$A$33:$A$35,0))</definedName>
    <definedName name="aprobofirmas10">INDEX([11]firmas!$C$33:$C$35,MATCH('[11]CF - IF '!$Y$43,[11]firmas!$A$33:$A$35,0))</definedName>
    <definedName name="aprobofirmas11">INDEX([11]firmas!$C$33:$C$35,MATCH([11]ANGULARIDAD!$AK$29,[11]firmas!$A$33:$A$35,0))</definedName>
    <definedName name="aprobofirmas12">INDEX([11]firmas!$C$33:$C$35,MATCH([11]PROCTOR!$I$42,[11]firmas!$A$33:$A$35,0))</definedName>
    <definedName name="aprobofirmas13">INDEX([11]firmas!$C$33:$C$35,MATCH('[11] CBR 1'!$AP$55:$AQ$55,[11]firmas!$A$33:$A$35,0))</definedName>
    <definedName name="aprobofirmas14">INDEX([11]firmas!$C$33:$C$35,MATCH('[11] CBR (2)'!$G$55:$H$55,[11]firmas!$A$33:$A$35,0))</definedName>
    <definedName name="aprobofirmas2" localSheetId="0">INDEX([8]firmas!$C$33:$C$35,MATCH('[8]CONO DINAMICO'!$L$57:$O$57,[8]firmas!$A$33:$A$35,0))</definedName>
    <definedName name="aprobofirmas2">INDEX([9]firmas!$C$33:$C$35,MATCH('[9]CONO DINAMICO'!$I$57,[9]firmas!$A$33:$A$35,0))</definedName>
    <definedName name="aprobofirmas3" localSheetId="0">INDEX([7]firmas!$C$31:$C$33,MATCH('6. Clasificación M1'!#REF!,[7]firmas!$A$31:$A$33,0))</definedName>
    <definedName name="aprobofirmas3">INDEX([6]firmas!$C$39:$C$41,MATCH('[6]8. CLASIFICACION M2'!$J$48:$P$48,[6]firmas!$A$39:$A$41,0))</definedName>
    <definedName name="aprobofirmas3M1" localSheetId="0">INDEX([9]firmas!$C$33:$C$35,MATCH('6. Clasificación M1'!#REF!,[9]firmas!$A$33:$A$35,0))</definedName>
    <definedName name="aprobofirmas3M1">INDEX([9]firmas!$C$33:$C$35,MATCH('[9]CLASIFICACION M1'!$J$48,[9]firmas!$A$33:$A$35,0))</definedName>
    <definedName name="Aprobofirmas4" localSheetId="0">INDEX([8]firmas!$C$33:$C$35,MATCH(#REF!,[8]firmas!$A$33:$A$35,0))</definedName>
    <definedName name="Aprobofirmas4">INDEX([7]firmas!$C$31:$C$33,MATCH(#REF!,[7]firmas!$A$31:$A$33,0))</definedName>
    <definedName name="Aprobofirmas5" localSheetId="0">INDEX([8]firmas!$C$33:$C$35,MATCH('[8]M.O.  M1'!$I$27:$O$27,[8]firmas!$A$33:$A$35,0))</definedName>
    <definedName name="Aprobofirmas5">INDEX([7]firmas!$C$31:$C$33,MATCH('[7]M.O.  M1'!$I$29:$O$29,[7]firmas!$A$31:$A$33,0))</definedName>
    <definedName name="Aprobofirmas6" localSheetId="0">INDEX([8]firmas!$C$33:$C$35,MATCH('[8]CLASIFICACION M2'!$N$61:$P$61,[8]firmas!$A$33:$A$35,0))</definedName>
    <definedName name="Aprobofirmas6">INDEX([7]firmas!$C$31:$C$33,MATCH(#REF!,[7]firmas!$A$31:$A$33,0))</definedName>
    <definedName name="Aprobofirmas7" localSheetId="0">INDEX([8]firmas!$C$33:$C$35,MATCH('[8]M.O.  M2'!$I$27:$O$27,[8]firmas!$A$33:$A$35,0))</definedName>
    <definedName name="Aprobofirmas7">INDEX([7]firmas!$C$31:$C$33,MATCH(#REF!,[7]firmas!$A$31:$A$33,0))</definedName>
    <definedName name="Aprobofirmas8" localSheetId="0">INDEX([8]firmas!$C$33:$C$35,MATCH('[8]CLASIFICACION M3'!$N$61:$P$61,[8]firmas!$A$33:$A$35,0))</definedName>
    <definedName name="Aprobofirmas8">INDEX([7]firmas!$C$31:$C$33,MATCH(#REF!,[7]firmas!$A$31:$A$33,0))</definedName>
    <definedName name="Aprobofirmas9" localSheetId="0">INDEX([8]firmas!$C$33:$C$35,MATCH('[8]M.O.  M3'!$I$27:$O$27,[8]firmas!$A$33:$A$35,0))</definedName>
    <definedName name="Aprobofirmas9">INDEX([7]firmas!$C$31:$C$33,MATCH(#REF!,[7]firmas!$A$31:$A$33,0))</definedName>
    <definedName name="aprobofirmasD">INDEX([12]firmas!$C$33:$C$35,MATCH('[12]Desgaste '!$T$36:$Z$36,[12]firmas!$A$33:$A$35,0))</definedName>
    <definedName name="aprobofirmasMO">INDEX([13]firmas!$C$33:$C$35,MATCH([13]COLORIMETRIA!$J$31,[13]firmas!$A$33:$A$35,0))</definedName>
    <definedName name="AproboMO_M2">INDEX([7]firmas!$C$31:$C$33,MATCH('[7]M.O.  M2'!$I$29:$O$29,[7]firmas!$A$31:$A$33,0))</definedName>
    <definedName name="AproboMO_M3">INDEX([7]firmas!$C$31:$C$33,MATCH('[7]M.O.  M3'!$I$29:$O$29,[7]firmas!$A$31:$A$33,0))</definedName>
    <definedName name="aprobonombres" localSheetId="0">[8]firmas!$A$33:$A$35</definedName>
    <definedName name="aprobonombres">[7]firmas!$A$31:$A$33</definedName>
    <definedName name="_xlnm.Print_Area" localSheetId="0">'6. Clasificación M1'!$A$1:$P$48</definedName>
    <definedName name="ELABORA_A">INDEX([5]firmas!$C$2:$C$26,MATCH([5]ANGULARIDAD!$L$29,[5]firmas!$A$2:$A$26,0))</definedName>
    <definedName name="elaborocargo" localSheetId="0">[8]firmas!$B$11:$B$13</definedName>
    <definedName name="elaborocargo">[14]firmas!$B$11:$B$13</definedName>
    <definedName name="elaborofirmas1" localSheetId="0">INDEX([8]firmas!$C$2:$C$26,MATCH('[8]REG FOTOGRAFICO'!$F$55:$I$55,[8]firmas!$A$2:$A$26,0))</definedName>
    <definedName name="elaborofirmas1">INDEX([7]firmas!$C$2:$C$24,MATCH('[10]3. Reg fotografico'!#REF!,[7]firmas!$A$2:$A$24,0))</definedName>
    <definedName name="elaborofirmas10">INDEX([11]firmas!$C$2:$C$26,MATCH('[11]CF - IF '!$G$43,[11]firmas!$A$2:$A$26,0))</definedName>
    <definedName name="elaborofirmas11">INDEX([11]firmas!$C$2:$C$26,MATCH([11]ANGULARIDAD!$L$29,[11]firmas!$A$2:$A$26,0))</definedName>
    <definedName name="elaborofirmas12">INDEX([11]firmas!$C$2:$C$26,MATCH([11]PROCTOR!$C$42,[11]firmas!$A$2:$A$26,0))</definedName>
    <definedName name="elaborofirmas13">INDEX([11]firmas!$C$2:$C$26,MATCH('[11] CBR 1'!$AL$55:$AM$55,[11]firmas!$A$2:$A$26,0))</definedName>
    <definedName name="elaborofirmas14">INDEX([11]firmas!$C$2:$C$26,MATCH('[11] CBR (2)'!$C$55,[11]firmas!$A$2:$A$26,0))</definedName>
    <definedName name="elaborofirmas2" localSheetId="0">INDEX([8]firmas!$C$2:$C$26,MATCH('[8]CONO DINAMICO'!$C$57:$F$57,[8]firmas!$A$2:$A$26,0))</definedName>
    <definedName name="elaborofirmas2">INDEX([7]firmas!$C$2:$C$24,MATCH('[9]CONO DINAMICO'!$F$57:$F$57,[7]firmas!$A$2:$A$24,0))</definedName>
    <definedName name="elaborofirmas3" localSheetId="0">INDEX([7]firmas!$C$2:$C$26,MATCH('6. Clasificación M1'!#REF!,[7]firmas!$A$2:$A$26,0))</definedName>
    <definedName name="elaborofirmas3">INDEX([7]firmas!$C$2:$C$24,MATCH(#REF!,[7]firmas!$A$2:$A$24,0))</definedName>
    <definedName name="elaborofirmas4" localSheetId="0">INDEX([8]firmas!$C$2:$C$26,MATCH(#REF!,[8]firmas!$A$2:$A$26,0))</definedName>
    <definedName name="elaborofirmas4">INDEX([7]firmas!$C$2:$C$24,MATCH(#REF!,[7]firmas!$A$2:$A$24,0))</definedName>
    <definedName name="elaborofirmas5" localSheetId="0">INDEX([8]firmas!$C$2:$C$26,MATCH('[8]M.O.  M1'!$C$27:$E$27,[8]firmas!$A$2:$A$26,0))</definedName>
    <definedName name="elaborofirmas5">INDEX([7]firmas!$C$2:$C$24,MATCH('[7]M.O.  M1'!$C$29:$E$29,[7]firmas!$A$2:$A$24,0))</definedName>
    <definedName name="elaborofirmas6" localSheetId="0">INDEX([8]firmas!$C$2:$C$26,MATCH('[8]CLASIFICACION M2'!$E$61:$I$61,[8]firmas!$A$2:$A$26,0))</definedName>
    <definedName name="elaborofirmas6">INDEX([7]firmas!$C$2:$C$24,MATCH(#REF!,[7]firmas!$A$2:$A$24,0))</definedName>
    <definedName name="elaborofirmas7" localSheetId="0">INDEX([8]firmas!$C$2:$C$26,MATCH('[8]M.O.  M2'!$C$27:$E$27,[8]firmas!$A$2:$A$26,0))</definedName>
    <definedName name="elaborofirmas7">INDEX([7]firmas!$C$2:$C$24,MATCH(#REF!,[7]firmas!$A$2:$A$24,0))</definedName>
    <definedName name="elaborofirmas8" localSheetId="0">INDEX([8]firmas!$C$2:$C$26,MATCH('[8]CLASIFICACION M3'!$E$61:$I$61,[8]firmas!$A$2:$A$26,0))</definedName>
    <definedName name="elaborofirmas8">INDEX([7]firmas!$C$2:$C$24,MATCH(#REF!,[7]firmas!$A$2:$A$24,0))</definedName>
    <definedName name="elaborofirmas9" localSheetId="0">INDEX([8]firmas!$C$2:$C$26,MATCH('[8]M.O.  M3'!$C$27:$E$27,[8]firmas!$A$2:$A$26,0))</definedName>
    <definedName name="elaborofirmas9">INDEX([7]firmas!$C$2:$C$24,MATCH(#REF!,[7]firmas!$A$2:$A$24,0))</definedName>
    <definedName name="elaborofirmasD">INDEX([12]firmas!$C$2:$C$26,MATCH('[12]Desgaste '!$F$36:$L$36,[12]firmas!$A$2:$A$26,0))</definedName>
    <definedName name="elaborofirmasMO">INDEX([13]firmas!$C$2:$C$26,MATCH([13]COLORIMETRIA!$D$31,[13]firmas!$A$2:$A$26,0))</definedName>
    <definedName name="ElaboroMO_M2">INDEX([7]firmas!$C$2:$C$24,MATCH('[7]M.O.  M2'!$C$29:$E$29,[7]firmas!$A$2:$A$24,0))</definedName>
    <definedName name="ElaboroMO_M3">INDEX([7]firmas!$C$2:$C$24,MATCH('[7]M.O.  M3'!$C$29:$E$29,[7]firmas!$A$2:$A$24,0))</definedName>
    <definedName name="Elaboronombres" localSheetId="0">[8]firmas!$A$2:$A$26</definedName>
    <definedName name="Elaboronombres">[7]firmas!$A$2:$A$24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[15]OCTUBRE!#REF!</definedName>
    <definedName name="KK" hidden="1">[15]OCTUBRE!#REF!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 localSheetId="0">[8]firmas!$B$28:$B$30</definedName>
    <definedName name="realizocargo">[7]firmas!$B$26:$B$28</definedName>
    <definedName name="REVISO_A">INDEX([5]firmas!$C$28:$C$31,MATCH([5]ANGULARIDAD!$W$29:$X$43,[5]firmas!$A$28:$A$31,0))</definedName>
    <definedName name="revisocargo">[16]firmas!$B$28:$B$30</definedName>
    <definedName name="revisoea" localSheetId="0">INDEX([8]firmas!$C$28:$C$31,MATCH(#REF!,[8]firmas!$A$28:$A$31,0))</definedName>
    <definedName name="revisoea">INDEX([9]firmas!$C$26:$C$29,MATCH([9]firmas!$A$26:$A$29,0))</definedName>
    <definedName name="revisofirmas1" localSheetId="0">INDEX([8]firmas!$C$28:$C$31,MATCH('[8]REG FOTOGRAFICO'!$J$55:$M$55,[8]firmas!$A$28:$A$31,0))</definedName>
    <definedName name="revisofirmas1">INDEX([9]firmas!$C$26:$C$29,MATCH('[10]3. Reg fotografico'!#REF!,[9]firmas!$A$26:$A$29,0))</definedName>
    <definedName name="revisofirmas10">INDEX([11]firmas!$C$28:$C$31,MATCH('[11]CF - IF '!$M$43:$X$43,[11]firmas!$A$28:$A$31,0))</definedName>
    <definedName name="revisofirmas11">INDEX([11]firmas!$C$28:$C$31,MATCH([11]ANGULARIDAD!$W$29:$X$43,[11]firmas!$A$28:$A$31,0))</definedName>
    <definedName name="revisofirmas12">INDEX([11]firmas!$C$28:$C$31,MATCH([11]PROCTOR!$F$42,[11]firmas!$A$28:$A$31,0))</definedName>
    <definedName name="revisofirmas13">INDEX([11]firmas!$C$28:$C$31,MATCH('[11] CBR 1'!$AN$55:$AO$55,[11]firmas!$A$28:$A$31,0))</definedName>
    <definedName name="revisofirmas14">INDEX([11]firmas!$C$28:$C$31,MATCH('[11] CBR (2)'!$E$55:$F$55,[11]firmas!$A$28:$A$31,0))</definedName>
    <definedName name="revisofirmas2" localSheetId="0">INDEX([8]firmas!$C$28:$C$31,MATCH('[8]CONO DINAMICO'!$G$57:$K$57,[8]firmas!$A$28:$A$31,0))</definedName>
    <definedName name="revisofirmas2">INDEX([9]firmas!$C$26:$C$31,MATCH('[9]CONO DINAMICO'!$A$57:$E$57,[9]firmas!$A$26:$A$31,0))</definedName>
    <definedName name="revisofirmas3" localSheetId="0">INDEX([9]firmas!$C$26:$C$29,MATCH('6. Clasificación M1'!#REF!,[9]firmas!$A$26:$A$29,0))</definedName>
    <definedName name="revisofirmas3">INDEX([7]firmas!$C$26:$C$29,MATCH(#REF!,[7]firmas!$A$26:$A$29,0))</definedName>
    <definedName name="revisofirmas4" localSheetId="0">INDEX([8]firmas!$C$28:$C$31,MATCH(#REF!,[8]firmas!$A$28:$A$31,0))</definedName>
    <definedName name="revisofirmas4">INDEX([7]firmas!$C$26:$C$29,MATCH(#REF!,[7]firmas!$A$26:$A$29,0))</definedName>
    <definedName name="revisofirmas5" localSheetId="0">INDEX([8]firmas!$C$28:$C$31,MATCH('[8]M.O.  M1'!$F$27:$H$27,[8]firmas!$A$28:$A$31,0))</definedName>
    <definedName name="revisofirmas5">INDEX([7]firmas!$C$26:$C$29,MATCH('[7]M.O.  M1'!$F$29:$H$29,[7]firmas!$A$26:$A$29,0))</definedName>
    <definedName name="revisofirmas6" localSheetId="0">INDEX([8]firmas!$C$28:$C$31,MATCH('[8]CLASIFICACION M2'!$J$61:$M$61,[8]firmas!$A$28:$A$31,0))</definedName>
    <definedName name="revisofirmas6">INDEX([7]firmas!$C$26:$C$29,MATCH(#REF!,[7]firmas!$A$26:$A$29,0))</definedName>
    <definedName name="revisofirmas7" localSheetId="0">INDEX([8]firmas!$C$28:$C$31,MATCH('[8]M.O.  M2'!$F$27:$H$27,[8]firmas!$A$28:$A$31,0))</definedName>
    <definedName name="revisofirmas7">INDEX([7]firmas!$C$26:$C$29,MATCH(#REF!,[7]firmas!$A$26:$A$29,0))</definedName>
    <definedName name="revisofirmas8" localSheetId="0">INDEX([8]firmas!$C$28:$C$31,MATCH('[8]CLASIFICACION M3'!$J$61:$M$61,[8]firmas!$A$28:$A$31,0))</definedName>
    <definedName name="revisofirmas8">INDEX([7]firmas!$C$26:$C$29,MATCH(#REF!,[7]firmas!$A$26:$A$29,0))</definedName>
    <definedName name="revisofirmas9" localSheetId="0">INDEX([8]firmas!$C$28:$C$31,MATCH('[8]M.O.  M3'!$F$27:$H$27,[8]firmas!$A$28:$A$31,0))</definedName>
    <definedName name="revisofirmas9">INDEX([7]firmas!$C$26:$C$29,MATCH(#REF!,[7]firmas!$A$26:$A$29,0))</definedName>
    <definedName name="revisofirmasD">INDEX([12]firmas!$C$28:$C$31,MATCH('[12]Desgaste '!$M$36:$S$36,[12]firmas!$A$28:$A$31,0))</definedName>
    <definedName name="revisofirmasH">INDEX([17]firmas!$C$28:$C$31,MATCH(#REF!,[17]firmas!$A$28:$A$31,0))</definedName>
    <definedName name="revisofirmasMO">INDEX([13]firmas!$C$28:$C$31,MATCH([13]COLORIMETRIA!$G$31,[13]firmas!$A$28:$A$31,0))</definedName>
    <definedName name="RevisoMO_M2">INDEX([7]firmas!$C$26:$C$29,MATCH('[7]M.O.  M2'!$F$29:$H$29,[7]firmas!$A$26:$A$29,0))</definedName>
    <definedName name="RevisoMO_M3">INDEX([7]firmas!$C$26:$C$29,MATCH('[7]M.O.  M3'!$F$29:$H$29,[7]firmas!$A$26:$A$29,0))</definedName>
    <definedName name="revisonombres" localSheetId="0">[8]firmas!$A$28:$A$31</definedName>
    <definedName name="revisonombres">[7]firmas!$A$26:$A$29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2" i="1" l="1"/>
  <c r="W116" i="1"/>
  <c r="AA87" i="1"/>
  <c r="AA86" i="1"/>
  <c r="AC79" i="1"/>
  <c r="AA79" i="1"/>
  <c r="Z79" i="1"/>
  <c r="H39" i="1"/>
  <c r="H29" i="1"/>
  <c r="I29" i="1" s="1"/>
  <c r="E26" i="1"/>
  <c r="F24" i="1"/>
  <c r="AN15" i="1" s="1"/>
  <c r="F22" i="1"/>
  <c r="AE10" i="1" s="1"/>
  <c r="AE21" i="1" s="1"/>
  <c r="AF21" i="1" s="1"/>
  <c r="F21" i="1"/>
  <c r="C20" i="1"/>
  <c r="F19" i="1"/>
  <c r="AN10" i="1" s="1"/>
  <c r="AM18" i="1"/>
  <c r="AM20" i="1" s="1"/>
  <c r="AI18" i="1"/>
  <c r="AI20" i="1" s="1"/>
  <c r="F18" i="1"/>
  <c r="AN9" i="1" s="1"/>
  <c r="AN17" i="1"/>
  <c r="W16" i="1"/>
  <c r="Q16" i="1"/>
  <c r="W15" i="1"/>
  <c r="Q15" i="1"/>
  <c r="W14" i="1"/>
  <c r="F14" i="1"/>
  <c r="E14" i="1"/>
  <c r="AN13" i="1"/>
  <c r="AM13" i="1" s="1"/>
  <c r="AJ13" i="1"/>
  <c r="AG13" i="1"/>
  <c r="F13" i="1"/>
  <c r="E13" i="1"/>
  <c r="F25" i="1" s="1"/>
  <c r="AN12" i="1"/>
  <c r="AM12" i="1" s="1"/>
  <c r="AG12" i="1"/>
  <c r="AP11" i="1"/>
  <c r="AV8" i="1"/>
  <c r="T8" i="1"/>
  <c r="T7" i="1"/>
  <c r="L7" i="1"/>
  <c r="T12" i="1" s="1"/>
  <c r="S12" i="1" s="1"/>
  <c r="T6" i="1"/>
  <c r="AR19" i="1" s="1"/>
  <c r="AS19" i="1" s="1"/>
  <c r="C9" i="1" l="1"/>
  <c r="L8" i="1"/>
  <c r="AD12" i="1"/>
  <c r="E34" i="1"/>
  <c r="AK10" i="1"/>
  <c r="AH10" i="1"/>
  <c r="AJ10" i="1"/>
  <c r="AM10" i="1"/>
  <c r="AI10" i="1"/>
  <c r="AL10" i="1"/>
  <c r="AL9" i="1"/>
  <c r="AH9" i="1"/>
  <c r="AI9" i="1"/>
  <c r="AK9" i="1"/>
  <c r="AJ9" i="1"/>
  <c r="AM9" i="1"/>
  <c r="AN16" i="1"/>
  <c r="AV11" i="1"/>
  <c r="N29" i="1"/>
  <c r="AJ15" i="1"/>
  <c r="AM15" i="1"/>
  <c r="AI15" i="1"/>
  <c r="AL15" i="1"/>
  <c r="AH15" i="1"/>
  <c r="AK15" i="1"/>
  <c r="Q10" i="1"/>
  <c r="AV10" i="1"/>
  <c r="AK12" i="1"/>
  <c r="AK13" i="1"/>
  <c r="AJ18" i="1"/>
  <c r="AJ20" i="1" s="1"/>
  <c r="E20" i="1"/>
  <c r="AR20" i="1"/>
  <c r="AS20" i="1" s="1"/>
  <c r="E23" i="1"/>
  <c r="D27" i="1"/>
  <c r="L34" i="1"/>
  <c r="AJ12" i="1"/>
  <c r="Q8" i="1"/>
  <c r="T9" i="1"/>
  <c r="AD10" i="1"/>
  <c r="T11" i="1"/>
  <c r="AH12" i="1"/>
  <c r="AL12" i="1"/>
  <c r="AH13" i="1"/>
  <c r="AL13" i="1"/>
  <c r="E17" i="1"/>
  <c r="AK18" i="1"/>
  <c r="AK20" i="1" s="1"/>
  <c r="F20" i="1"/>
  <c r="AN11" i="1" s="1"/>
  <c r="F23" i="1"/>
  <c r="E25" i="1"/>
  <c r="K29" i="1"/>
  <c r="L29" i="1" s="1"/>
  <c r="I30" i="1"/>
  <c r="K30" i="1" s="1"/>
  <c r="B37" i="1"/>
  <c r="H37" i="1" s="1"/>
  <c r="AI12" i="1"/>
  <c r="AI13" i="1"/>
  <c r="AG14" i="1"/>
  <c r="F17" i="1"/>
  <c r="AN8" i="1" s="1"/>
  <c r="E18" i="1"/>
  <c r="AH18" i="1"/>
  <c r="AH20" i="1" s="1"/>
  <c r="AL18" i="1"/>
  <c r="AL20" i="1" s="1"/>
  <c r="E19" i="1"/>
  <c r="E21" i="1"/>
  <c r="E22" i="1"/>
  <c r="E24" i="1"/>
  <c r="AG15" i="1" l="1"/>
  <c r="AG16" i="1"/>
  <c r="AL11" i="1"/>
  <c r="AH11" i="1"/>
  <c r="AI11" i="1"/>
  <c r="AK11" i="1"/>
  <c r="AM11" i="1"/>
  <c r="AJ11" i="1"/>
  <c r="AF19" i="1"/>
  <c r="O29" i="1"/>
  <c r="AD8" i="1"/>
  <c r="AD14" i="1" s="1"/>
  <c r="AD15" i="1" s="1"/>
  <c r="AJ8" i="1"/>
  <c r="AL8" i="1"/>
  <c r="AK8" i="1"/>
  <c r="AM8" i="1"/>
  <c r="AI8" i="1"/>
  <c r="AH8" i="1"/>
  <c r="AR14" i="1"/>
  <c r="AS14" i="1" s="1"/>
  <c r="AR11" i="1"/>
  <c r="AS11" i="1" s="1"/>
  <c r="AR10" i="1"/>
  <c r="AS10" i="1" s="1"/>
  <c r="AR9" i="1"/>
  <c r="AS9" i="1" s="1"/>
  <c r="AR15" i="1"/>
  <c r="AS15" i="1" s="1"/>
  <c r="AQ24" i="1"/>
  <c r="AR18" i="1"/>
  <c r="AS18" i="1" s="1"/>
  <c r="AR17" i="1"/>
  <c r="AS17" i="1" s="1"/>
  <c r="AR13" i="1"/>
  <c r="AS13" i="1" s="1"/>
  <c r="AR12" i="1"/>
  <c r="AS12" i="1" s="1"/>
  <c r="AQ22" i="1"/>
  <c r="AR16" i="1"/>
  <c r="AS16" i="1" s="1"/>
  <c r="AN14" i="1"/>
  <c r="AV9" i="1"/>
  <c r="F27" i="1"/>
  <c r="V7" i="1"/>
  <c r="B28" i="1" s="1"/>
  <c r="AJ16" i="1"/>
  <c r="AM16" i="1"/>
  <c r="AI16" i="1"/>
  <c r="AL16" i="1"/>
  <c r="AH16" i="1"/>
  <c r="AK16" i="1"/>
  <c r="AK14" i="1" l="1"/>
  <c r="AJ14" i="1"/>
  <c r="AM14" i="1"/>
  <c r="AI14" i="1"/>
  <c r="AL14" i="1"/>
  <c r="AH14" i="1"/>
  <c r="AH22" i="1"/>
  <c r="AJ22" i="1"/>
  <c r="AL22" i="1"/>
  <c r="AG18" i="1"/>
  <c r="AF18" i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T6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La informacion subrayada indica que cuando se hacen los paquetes hay que cambiar de donde llama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V15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V16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Q31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Cuando no hay presencia de sobre tamaños no digitar nada.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sharedStrings.xml><?xml version="1.0" encoding="utf-8"?>
<sst xmlns="http://schemas.openxmlformats.org/spreadsheetml/2006/main" count="351" uniqueCount="247">
  <si>
    <t>INFORME DE ENSAYO  
GRADACIÓN Y CLASIFICACIÓN DE SUELOS Y  MEZCLA DE SUELOS Y AGREGADOS CON FINES DE CONSTRUCCIÓN  DE CARRETERAS</t>
  </si>
  <si>
    <t>CÓDIGO: GLAB-FM-011</t>
  </si>
  <si>
    <t>SIMBOLO DEL GRUPO</t>
  </si>
  <si>
    <t>DENOMINACIÓN DEL GRUPO</t>
  </si>
  <si>
    <t>Paginas</t>
  </si>
  <si>
    <t>Limite Liquido %:</t>
  </si>
  <si>
    <t>Verificación del tamizado</t>
  </si>
  <si>
    <t>CH</t>
  </si>
  <si>
    <t>Arcilla de alta compresibilidad</t>
  </si>
  <si>
    <t>pasa N°200 ≥ 50%</t>
  </si>
  <si>
    <r>
      <t>LL</t>
    </r>
    <r>
      <rPr>
        <sz val="8"/>
        <rFont val="Calibri"/>
        <family val="2"/>
      </rPr>
      <t>≥</t>
    </r>
    <r>
      <rPr>
        <sz val="8"/>
        <rFont val="Arial"/>
        <family val="2"/>
      </rPr>
      <t>50%</t>
    </r>
  </si>
  <si>
    <t>En la línea A o por encima de ella</t>
  </si>
  <si>
    <t>Sistema unificado de clasificación de suelos para propósitos de ingeniería SUCS INV E-181-13</t>
  </si>
  <si>
    <t>Para D60</t>
  </si>
  <si>
    <t>Para D30</t>
  </si>
  <si>
    <t>Para D10</t>
  </si>
  <si>
    <t>% Porcentaje</t>
  </si>
  <si>
    <t>Tamiz</t>
  </si>
  <si>
    <t>Clasificación de suelos y de mezclas de suelos y agregados con fines de construcción de carreteras
 (Sistema AASHTO) INV E-180-13</t>
  </si>
  <si>
    <t>% pasa</t>
  </si>
  <si>
    <t>Código:</t>
  </si>
  <si>
    <t>Pagina</t>
  </si>
  <si>
    <t>Limite Plástico %:</t>
  </si>
  <si>
    <t>CL</t>
  </si>
  <si>
    <t>Arcilla de baja compresibilidad</t>
  </si>
  <si>
    <t>LL&lt;50%</t>
  </si>
  <si>
    <t xml:space="preserve">IP&gt;7 </t>
  </si>
  <si>
    <t>y, simultáneamente en la línea A o por encima de ella</t>
  </si>
  <si>
    <t>Clasificación suelo fino o grueso</t>
  </si>
  <si>
    <t>Los &gt; 60</t>
  </si>
  <si>
    <t>Los &lt; 60</t>
  </si>
  <si>
    <t>Los &gt; 30</t>
  </si>
  <si>
    <t>Los &lt; 30</t>
  </si>
  <si>
    <t>Los &gt; 10</t>
  </si>
  <si>
    <t>Los &lt; 10</t>
  </si>
  <si>
    <t>Pasa</t>
  </si>
  <si>
    <t>Alterno</t>
  </si>
  <si>
    <t>mm</t>
  </si>
  <si>
    <t>alterno</t>
  </si>
  <si>
    <t>Índice de Plasticidad:</t>
  </si>
  <si>
    <t>CL ML</t>
  </si>
  <si>
    <t>Arcilla limosa de baja compresibilidad</t>
  </si>
  <si>
    <r>
      <t xml:space="preserve">4 </t>
    </r>
    <r>
      <rPr>
        <sz val="8"/>
        <rFont val="Calibri"/>
        <family val="2"/>
      </rPr>
      <t xml:space="preserve">≤ </t>
    </r>
    <r>
      <rPr>
        <sz val="8"/>
        <rFont val="Arial"/>
        <family val="2"/>
      </rPr>
      <t xml:space="preserve">IP </t>
    </r>
    <r>
      <rPr>
        <sz val="8"/>
        <rFont val="Calibri"/>
        <family val="2"/>
      </rPr>
      <t xml:space="preserve">≤ </t>
    </r>
    <r>
      <rPr>
        <sz val="8"/>
        <rFont val="Arial"/>
        <family val="2"/>
      </rPr>
      <t xml:space="preserve">7 </t>
    </r>
  </si>
  <si>
    <t>y simultáneamente en la línea A o por encima de ella</t>
  </si>
  <si>
    <t>2"</t>
  </si>
  <si>
    <t>Subgrupos</t>
  </si>
  <si>
    <t>N° 4</t>
  </si>
  <si>
    <t>Muestra:</t>
  </si>
  <si>
    <t>de</t>
  </si>
  <si>
    <t>LL luego de secado al horno</t>
  </si>
  <si>
    <t>MH</t>
  </si>
  <si>
    <t>Limo de alta compresibilidad</t>
  </si>
  <si>
    <t>Bajo la línea A</t>
  </si>
  <si>
    <t>Clasificación de finos</t>
  </si>
  <si>
    <t>Clasificación de gruesos</t>
  </si>
  <si>
    <t>1 1/2"</t>
  </si>
  <si>
    <t>A-1-a</t>
  </si>
  <si>
    <t>N° 10</t>
  </si>
  <si>
    <t>ML</t>
  </si>
  <si>
    <t>Limo de baja compresibilidad</t>
  </si>
  <si>
    <t xml:space="preserve">IP &lt; 4 </t>
  </si>
  <si>
    <t>o,  por debajo de la línea A</t>
  </si>
  <si>
    <t>1"</t>
  </si>
  <si>
    <t>A-1-b</t>
  </si>
  <si>
    <t>N°40</t>
  </si>
  <si>
    <t>Determinación de las partículas de los suelos INV E 123-13</t>
  </si>
  <si>
    <t>Pagina xx de xx</t>
  </si>
  <si>
    <t>LL antes de secado</t>
  </si>
  <si>
    <t>OL</t>
  </si>
  <si>
    <t>Limo orgánico de baja compresibilidad</t>
  </si>
  <si>
    <t>IP &lt; 4 o  por debajo de la línea A</t>
  </si>
  <si>
    <t>Orgánico &lt; 0,75</t>
  </si>
  <si>
    <t>Compresibilidad</t>
  </si>
  <si>
    <t>Coeficiente de curvatura Cc y uniformidad Cu</t>
  </si>
  <si>
    <t>3/4"</t>
  </si>
  <si>
    <t>A-3</t>
  </si>
  <si>
    <t>N° 200</t>
  </si>
  <si>
    <t>Orgánico</t>
  </si>
  <si>
    <t>Arcilla orgánica de baja compresibilidad</t>
  </si>
  <si>
    <r>
      <t xml:space="preserve">IP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4 y en la línea A o por encima de ella</t>
    </r>
  </si>
  <si>
    <t>D10</t>
  </si>
  <si>
    <t>3/8"</t>
  </si>
  <si>
    <t>A-2-4</t>
  </si>
  <si>
    <t>M1=Masa inicial antes de lavado</t>
  </si>
  <si>
    <t>OH</t>
  </si>
  <si>
    <t>Limo orgánico de alta compresibilidad</t>
  </si>
  <si>
    <t>Clasificación general de suelo fino</t>
  </si>
  <si>
    <t>D30</t>
  </si>
  <si>
    <t>A-2-5</t>
  </si>
  <si>
    <t>M2=Masa seca después de lavado</t>
  </si>
  <si>
    <t>Masa del recipiente</t>
  </si>
  <si>
    <t>Arcilla orgánica  de alta compresibilidad</t>
  </si>
  <si>
    <t>D60</t>
  </si>
  <si>
    <t>A-2-6</t>
  </si>
  <si>
    <t>GW</t>
  </si>
  <si>
    <t>GRAVAS BIEN GRADADAS Y MEZCLAS DE ARENA Y GRAVA CON POCOS FINOS O SIN FINOS</t>
  </si>
  <si>
    <t>Masa Retenida g</t>
  </si>
  <si>
    <t>SW</t>
  </si>
  <si>
    <t>Arena bien gradada</t>
  </si>
  <si>
    <t>pasa N°200 &lt; 50%</t>
  </si>
  <si>
    <t>Pasa el tamiz N°4</t>
  </si>
  <si>
    <t xml:space="preserve">Arena &lt; 5% de finos, </t>
  </si>
  <si>
    <t xml:space="preserve">Cu ≥ 6 y  1 ≤ Cc ≤ 3 </t>
  </si>
  <si>
    <t>Cc</t>
  </si>
  <si>
    <t>A-2-7</t>
  </si>
  <si>
    <t>GP</t>
  </si>
  <si>
    <t>GRAVAS Y MEZCLAS DE GRAVAS Y ARENAS MAL GRADADAS CON POCOS FINOS O SIN FINOS</t>
  </si>
  <si>
    <t>Retenido</t>
  </si>
  <si>
    <t>SW  SM</t>
  </si>
  <si>
    <t>Arena bien gradada con finos limosos</t>
  </si>
  <si>
    <r>
      <t xml:space="preserve">Arena con fino limoso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5% y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12%</t>
    </r>
  </si>
  <si>
    <t>Cu ≥ 6 y  1 ≤ Cc ≤ 3</t>
  </si>
  <si>
    <t>Cu</t>
  </si>
  <si>
    <t>A-4</t>
  </si>
  <si>
    <t>G M</t>
  </si>
  <si>
    <t>GRAVAS LIMOSAS, MEZCLAS DE GRAVA-ARENA Y LIMO</t>
  </si>
  <si>
    <t>SW  SC</t>
  </si>
  <si>
    <t>Arena arcillosa bien gradada con finos arcillosos</t>
  </si>
  <si>
    <r>
      <t xml:space="preserve">Arena con finos arcillosos o arcillo limosos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5% y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12%</t>
    </r>
  </si>
  <si>
    <t>Gravas</t>
  </si>
  <si>
    <t>Arenas</t>
  </si>
  <si>
    <t>Y2</t>
  </si>
  <si>
    <t>Y1</t>
  </si>
  <si>
    <t>Pasa N° 200</t>
  </si>
  <si>
    <t>A-5</t>
  </si>
  <si>
    <t>GM</t>
  </si>
  <si>
    <t>SP</t>
  </si>
  <si>
    <t>Arena mal gradada</t>
  </si>
  <si>
    <r>
      <t>Arena &lt; 5% de finos, Cu &lt; 6 y/o  1 &gt; Cc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 xml:space="preserve">3 </t>
    </r>
  </si>
  <si>
    <t>Gradada Bien (W), mal(P)</t>
  </si>
  <si>
    <t>A-6</t>
  </si>
  <si>
    <t>GC</t>
  </si>
  <si>
    <t>GRAVAS ARCILLOSAS, MEZCLAS DE GRAVA-ARENA Y ARCILLA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</si>
  <si>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</si>
  <si>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  SM</t>
  </si>
  <si>
    <t>Arena limosa pobremente gradada</t>
  </si>
  <si>
    <r>
      <t xml:space="preserve">Arena con fino limoso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5% y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12%, Cu &lt; 6 y/o  1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>Cc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>3</t>
    </r>
  </si>
  <si>
    <t>% de finos</t>
  </si>
  <si>
    <t>X2</t>
  </si>
  <si>
    <t>X1</t>
  </si>
  <si>
    <t>A-7-5</t>
  </si>
  <si>
    <t>ARENAS Y ARENA GRAVOSAS BIEN GRADADAS CON POCOS FINOS O SIN FINOS</t>
  </si>
  <si>
    <t>SP  SC</t>
  </si>
  <si>
    <t>Arena arcillosa pobremente gradada</t>
  </si>
  <si>
    <r>
      <t xml:space="preserve">Arena con finos arcillosos o arcillo limosos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5% y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12%, Cu &lt; 6 y/o  1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>Cc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>3</t>
    </r>
  </si>
  <si>
    <t>Clasificación general de suelo grueso</t>
  </si>
  <si>
    <t>A-7-6</t>
  </si>
  <si>
    <t>ARENAS Y ARENA GRAVOSAS MAL GRADADAS CON POCOS FINOS O SIN FINOS</t>
  </si>
  <si>
    <t>SC</t>
  </si>
  <si>
    <t>Arena arcillosa</t>
  </si>
  <si>
    <t>Arena &gt; 12% de finos, los finos clasifican como CL o CH</t>
  </si>
  <si>
    <t>=60</t>
  </si>
  <si>
    <t>=30</t>
  </si>
  <si>
    <t>=10</t>
  </si>
  <si>
    <r>
      <t xml:space="preserve">Índice de Grupo </t>
    </r>
    <r>
      <rPr>
        <sz val="8"/>
        <rFont val="Calibri"/>
        <family val="2"/>
      </rPr>
      <t xml:space="preserve">≠ </t>
    </r>
    <r>
      <rPr>
        <sz val="8"/>
        <rFont val="Arial"/>
        <family val="2"/>
      </rPr>
      <t>A-2-6, A-2-7</t>
    </r>
  </si>
  <si>
    <t>S P</t>
  </si>
  <si>
    <t>SM</t>
  </si>
  <si>
    <t>Arena limosa</t>
  </si>
  <si>
    <t>Arena &gt; 12% de fino, los finos clasifican como ML o MH</t>
  </si>
  <si>
    <t>S M</t>
  </si>
  <si>
    <t>ARENAS LIMOSAS, MEZCLAS DE ARENA Y LIMO</t>
  </si>
  <si>
    <t>SC SM</t>
  </si>
  <si>
    <t>Arena limo arcillosa</t>
  </si>
  <si>
    <t>Arena &gt; 12% de fino, los finos clasifican como CL o ML</t>
  </si>
  <si>
    <t>Índice de Grupo = A-2-6, A-2-7</t>
  </si>
  <si>
    <t>S C</t>
  </si>
  <si>
    <t>ARENAS ARCILLOSAS, MEZCLAS DE ARENA Y ARCILLA</t>
  </si>
  <si>
    <t>Grava arcillosa</t>
  </si>
  <si>
    <t>Queda retenida en el tamiz N°4</t>
  </si>
  <si>
    <t>Grava &gt; 12% de fino, los finos clasifican como CL o CH</t>
  </si>
  <si>
    <t>LIMOS INORGANICOS ARENAS MUY FINAS, POLVO DE ROCA, ARENAS FINAS LIMOSAS O ARCILLOSAS</t>
  </si>
  <si>
    <t>Grava limosa</t>
  </si>
  <si>
    <t>Grava &gt; 12% de fino, los finos clasifican como ML o MH</t>
  </si>
  <si>
    <t>ARCILLAS INORGANICAS DE PLASTICIDAD BAJA A MEDIA, ARCILLAS GRAVOSAS, ARCILLAS ARENOSAS, ARCILLAS LIMOSAS, SUELOS SIN MUCHA ARCILLA</t>
  </si>
  <si>
    <t xml:space="preserve">GC GM  </t>
  </si>
  <si>
    <t>Grava arcillo limosa</t>
  </si>
  <si>
    <t>Grava &gt; 12% de finos, los finos clasifican como CL - ML</t>
  </si>
  <si>
    <t>LIMOS ORGANICOS Y ARCILLAS LIMOSAS ORGANICAS DE BAJA PLASTICIDAD</t>
  </si>
  <si>
    <t>Masa total:</t>
  </si>
  <si>
    <t>Grava bien gradada</t>
  </si>
  <si>
    <r>
      <t xml:space="preserve">Grava &lt; 5% de finos, Cu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4 y  1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Cc </t>
    </r>
    <r>
      <rPr>
        <sz val="8"/>
        <rFont val="Calibri"/>
        <family val="2"/>
      </rPr>
      <t xml:space="preserve">≤ </t>
    </r>
    <r>
      <rPr>
        <sz val="8"/>
        <rFont val="Arial"/>
        <family val="2"/>
      </rPr>
      <t xml:space="preserve">3 </t>
    </r>
  </si>
  <si>
    <t>LIMOS INORGANICOS, ARENAS FINAS O LIMOS MICACEOS O DE DIATOMEAS LIMOS ELASTICOS</t>
  </si>
  <si>
    <t>GW  GM</t>
  </si>
  <si>
    <t>Grava bien gradada con finos limosos</t>
  </si>
  <si>
    <r>
      <t xml:space="preserve">Grava con fino limoso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5% y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12%, Cu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4 y  1 </t>
    </r>
    <r>
      <rPr>
        <sz val="8"/>
        <rFont val="Calibri"/>
        <family val="2"/>
      </rPr>
      <t xml:space="preserve">≤ </t>
    </r>
    <r>
      <rPr>
        <sz val="8"/>
        <rFont val="Arial"/>
        <family val="2"/>
      </rPr>
      <t xml:space="preserve">Cc </t>
    </r>
    <r>
      <rPr>
        <sz val="8"/>
        <rFont val="Calibri"/>
        <family val="2"/>
      </rPr>
      <t xml:space="preserve">≤ </t>
    </r>
    <r>
      <rPr>
        <sz val="8"/>
        <rFont val="Arial"/>
        <family val="2"/>
      </rPr>
      <t>3</t>
    </r>
  </si>
  <si>
    <t>ARCILLAS INORGANICAS DE ALTA PLASTICIDAD, ARCILLAS GRASAS</t>
  </si>
  <si>
    <t>Granulometría:</t>
  </si>
  <si>
    <t>Grava</t>
  </si>
  <si>
    <t>Arena</t>
  </si>
  <si>
    <t>Finos</t>
  </si>
  <si>
    <t>GW  GC</t>
  </si>
  <si>
    <t>Grava bien gradada con finos arcillosos</t>
  </si>
  <si>
    <r>
      <t xml:space="preserve">Grava con finos arcillosos o arcillo limosos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5% y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12%, Cu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4 y  1 </t>
    </r>
    <r>
      <rPr>
        <sz val="8"/>
        <rFont val="Calibri"/>
        <family val="2"/>
      </rPr>
      <t xml:space="preserve">≤ </t>
    </r>
    <r>
      <rPr>
        <sz val="8"/>
        <rFont val="Arial"/>
        <family val="2"/>
      </rPr>
      <t xml:space="preserve">Cc </t>
    </r>
    <r>
      <rPr>
        <sz val="8"/>
        <rFont val="Calibri"/>
        <family val="2"/>
      </rPr>
      <t xml:space="preserve">≤ </t>
    </r>
    <r>
      <rPr>
        <sz val="8"/>
        <rFont val="Arial"/>
        <family val="2"/>
      </rPr>
      <t>3</t>
    </r>
  </si>
  <si>
    <t>ARCILLAS ORGANICAS DE PLASTICIDAD ALTA O MEDIA</t>
  </si>
  <si>
    <t>Proporción de sobre tamaños excluidos de la muestra:</t>
  </si>
  <si>
    <t>Masa total de la muestra (g)</t>
  </si>
  <si>
    <t>Grava pobremente gradada</t>
  </si>
  <si>
    <r>
      <t>Grava &lt; 5% de finos, Cu &lt; 4 y/o  1 &gt; Cc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 xml:space="preserve">3 </t>
    </r>
  </si>
  <si>
    <t>GP-GM</t>
  </si>
  <si>
    <t>GRAVAS MAL GRADADAS, GRAVAS LIMOSAS, MEZCLAS DE GRAVA-ARENA Y LIMO</t>
  </si>
  <si>
    <t>GP  GM</t>
  </si>
  <si>
    <t>Grava limosa pobremente gradada</t>
  </si>
  <si>
    <r>
      <t xml:space="preserve">Grava con fino limoso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5% y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12%, Cu &lt; 4 y/o  1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>Cc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>3</t>
    </r>
  </si>
  <si>
    <t>GP-GC</t>
  </si>
  <si>
    <t>GRAVAS MAL GRADADAS, GRAVAS ARCILLOSAS, MEZCLAS DE GRAVA-ARENA Y ARCILLA</t>
  </si>
  <si>
    <t>Clasificación de suelos y de mezclas de suelos y agregados con fines de construcción de carreteras sistema AASHTO  INV E-180-13</t>
  </si>
  <si>
    <t>Masa retenida en el tamiz de 3" (g)</t>
  </si>
  <si>
    <t>GP  GC</t>
  </si>
  <si>
    <t>Grava arcillosa pobremente gradada</t>
  </si>
  <si>
    <r>
      <t xml:space="preserve">Grava con finos arcillosos o arcillo limosos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5% y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12%, Cu &lt; 4 y/o  1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>Cc &gt;</t>
    </r>
    <r>
      <rPr>
        <sz val="8"/>
        <rFont val="Calibri"/>
        <family val="2"/>
      </rPr>
      <t xml:space="preserve"> </t>
    </r>
    <r>
      <rPr>
        <sz val="8"/>
        <rFont val="Arial"/>
        <family val="2"/>
      </rPr>
      <t>3</t>
    </r>
  </si>
  <si>
    <t>GW-GM</t>
  </si>
  <si>
    <t>GRAVAS BIEN GRADADAS, GRAVAS LIMOSAS, MEZCLAS DE GRAVA-ARENA Y LIMO</t>
  </si>
  <si>
    <t>GW-GC</t>
  </si>
  <si>
    <t>GRAVAS BIEN GRADADAS, GRAVAS ARCILLOSAS, MEZCLAS DE GRAVA-ARENA Y ARCILLA</t>
  </si>
  <si>
    <t>Grupo</t>
  </si>
  <si>
    <t>Índice de Grupo</t>
  </si>
  <si>
    <t>SP-SM</t>
  </si>
  <si>
    <t>ARENAS Y ARENA GRAVOSAS MAL GRADADAS, ARENAS LIMOSAS, MEZCLAS DE ARENA Y LIMO</t>
  </si>
  <si>
    <t>Sistema Unificado de clasificación de suelos para propósitos de ingeniería SUSC
INV E-181-13</t>
  </si>
  <si>
    <t>S P-S M</t>
  </si>
  <si>
    <t>SP-SC</t>
  </si>
  <si>
    <t>ARENAS Y ARENA GRAVOSAS MAL GRADADAS, ARENAS ARCILLOSAS, MEZCLAS DE ARENA Y ARCILLA</t>
  </si>
  <si>
    <t>S P-S C</t>
  </si>
  <si>
    <t xml:space="preserve">Fecha de ejecución: </t>
  </si>
  <si>
    <t>SW-SM</t>
  </si>
  <si>
    <t>ARENAS Y ARENA GRAVOSAS BIEN GRADADAS, ARENAS LIMOSAS, MEZCLAS DE ARENA Y LIMO</t>
  </si>
  <si>
    <t>SW-SC</t>
  </si>
  <si>
    <t>ARENAS Y ARENA GRAVOSAS BIEN GRADADAS, ARENAS ARCILLOSAS, MEZCLAS DE ARENA Y ARCILLA</t>
  </si>
  <si>
    <t>Observaciones:</t>
  </si>
  <si>
    <t>CL-ML</t>
  </si>
  <si>
    <t>ARCILLA O LIMO INORGANICO DE PLASTICIDAD MEDIA A BAJA (SUELO FRONTERA)</t>
  </si>
  <si>
    <t>FIN DEL INFORME DE  ENSAYO</t>
  </si>
  <si>
    <t>Laboratorio  de suelos, asfaltos y pavimentos de la UAERMV 
Sede de Producción Parque Minero Industrial El Mochuelo Kilometro 3 vía Pasquilla localidad Ciudad Bolívar, Bogotá D.C. - Colombia
Tel: 3779555 Ext 1145   E- mail: p.laboratorio@umv.gov.co</t>
  </si>
  <si>
    <t>A 2 7</t>
  </si>
  <si>
    <t>A 4</t>
  </si>
  <si>
    <t>A 7 5</t>
  </si>
  <si>
    <t>g</t>
  </si>
  <si>
    <t>h</t>
  </si>
  <si>
    <t>k</t>
  </si>
  <si>
    <t>SUELO</t>
  </si>
  <si>
    <t>P200&lt;5</t>
  </si>
  <si>
    <t>GRADADO</t>
  </si>
  <si>
    <t>W</t>
  </si>
  <si>
    <t>GRAVAS</t>
  </si>
  <si>
    <t>ARENAS</t>
  </si>
  <si>
    <t>VERSIÓN: 12</t>
  </si>
  <si>
    <t>FECHA DE APLICACIÓN: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</si>
</sst>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"/>
    <numFmt numFmtId="165" formatCode="0;[Red]0"/>
    <numFmt numFmtId="166" formatCode="0.000"/>
    <numFmt numFmtId="167" formatCode="yyyy\-mm\-dd;@"/>
    <numFmt numFmtId="168" formatCode="0.0;[Red]0.0"/>
    <numFmt numFmtId="169" formatCode="0.00;[Red]0.00"/>
    <numFmt numFmtId="170" formatCode="d\ &quot;de&quot;\ mmmm\ &quot;de&quot;\ yyyy"/>
    <numFmt numFmtId="171" formatCode="0.0000"/>
    <numFmt numFmtId="172" formatCode="0.0%"/>
    <numFmt numFmtId="173" formatCode="#,##0.0"/>
    <numFmt numFmtId="174" formatCode="0.00000"/>
  </numFmts>
  <fonts count="52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Arial 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Calibri"/>
      <family val="2"/>
    </font>
    <font>
      <b/>
      <sz val="7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8"/>
      <color theme="1" tint="0.499984740745262"/>
      <name val="Arial"/>
      <family val="2"/>
    </font>
    <font>
      <sz val="8"/>
      <name val="Helv"/>
    </font>
    <font>
      <sz val="8"/>
      <name val="Arial Narrow"/>
      <family val="2"/>
    </font>
    <font>
      <sz val="6"/>
      <name val="Arial"/>
      <family val="2"/>
    </font>
    <font>
      <b/>
      <sz val="8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9"/>
      <color theme="1" tint="0.499984740745262"/>
      <name val="Arial"/>
      <family val="2"/>
    </font>
    <font>
      <sz val="8"/>
      <color theme="1"/>
      <name val="Calibri"/>
      <family val="2"/>
      <scheme val="minor"/>
    </font>
    <font>
      <sz val="7"/>
      <color theme="1" tint="0.499984740745262"/>
      <name val="Arial"/>
      <family val="2"/>
    </font>
    <font>
      <b/>
      <i/>
      <sz val="10"/>
      <color theme="1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0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6"/>
      <color theme="0" tint="-0.499984740745262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  <font>
      <sz val="8"/>
      <color rgb="FF0070C0"/>
      <name val="Arial Narrow"/>
      <family val="2"/>
    </font>
    <font>
      <sz val="6"/>
      <color theme="1"/>
      <name val="Arial"/>
      <family val="2"/>
    </font>
    <font>
      <sz val="10"/>
      <name val="Helv"/>
    </font>
    <font>
      <sz val="8"/>
      <color theme="0" tint="-0.499984740745262"/>
      <name val="Arial"/>
      <family val="2"/>
    </font>
    <font>
      <sz val="7"/>
      <color theme="1"/>
      <name val="Calibri"/>
      <family val="2"/>
      <scheme val="minor"/>
    </font>
    <font>
      <sz val="8"/>
      <color indexed="21"/>
      <name val="Arial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gray0625">
        <bgColor theme="0"/>
      </patternFill>
    </fill>
    <fill>
      <patternFill patternType="gray0625">
        <fgColor theme="1" tint="0.499984740745262"/>
        <bgColor theme="0"/>
      </patternFill>
    </fill>
    <fill>
      <patternFill patternType="gray0625">
        <bgColor theme="9" tint="0.399945066682943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38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566">
    <xf numFmtId="0" fontId="0" fillId="0" borderId="0" xfId="0"/>
    <xf numFmtId="0" fontId="3" fillId="0" borderId="0" xfId="2" applyFont="1" applyBorder="1" applyAlignment="1" applyProtection="1">
      <alignment horizontal="center" vertical="center" wrapText="1"/>
    </xf>
    <xf numFmtId="0" fontId="4" fillId="0" borderId="0" xfId="2" applyFont="1" applyAlignment="1" applyProtection="1">
      <alignment vertical="center"/>
    </xf>
    <xf numFmtId="0" fontId="2" fillId="0" borderId="0" xfId="1" applyFont="1" applyProtection="1"/>
    <xf numFmtId="0" fontId="5" fillId="0" borderId="0" xfId="1" applyFont="1" applyProtection="1"/>
    <xf numFmtId="49" fontId="2" fillId="0" borderId="0" xfId="1" applyNumberFormat="1" applyFont="1" applyAlignment="1" applyProtection="1">
      <alignment horizontal="left"/>
    </xf>
    <xf numFmtId="0" fontId="3" fillId="0" borderId="0" xfId="2" applyFont="1" applyAlignment="1" applyProtection="1">
      <alignment horizontal="center" vertical="center"/>
    </xf>
    <xf numFmtId="0" fontId="2" fillId="2" borderId="0" xfId="1" applyFont="1" applyFill="1" applyProtection="1"/>
    <xf numFmtId="0" fontId="2" fillId="0" borderId="0" xfId="1" applyFont="1" applyBorder="1" applyProtection="1"/>
    <xf numFmtId="0" fontId="5" fillId="0" borderId="0" xfId="1" applyFont="1" applyBorder="1" applyProtection="1"/>
    <xf numFmtId="0" fontId="6" fillId="0" borderId="0" xfId="0" applyFont="1" applyBorder="1" applyProtection="1"/>
    <xf numFmtId="0" fontId="4" fillId="0" borderId="0" xfId="1" applyFont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/>
    </xf>
    <xf numFmtId="49" fontId="2" fillId="0" borderId="0" xfId="1" applyNumberFormat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left" vertical="center"/>
    </xf>
    <xf numFmtId="0" fontId="8" fillId="2" borderId="0" xfId="0" applyFont="1" applyFill="1" applyProtection="1"/>
    <xf numFmtId="0" fontId="10" fillId="0" borderId="0" xfId="0" applyFont="1" applyBorder="1" applyProtection="1"/>
    <xf numFmtId="0" fontId="4" fillId="0" borderId="0" xfId="1" applyFont="1" applyAlignment="1" applyProtection="1">
      <alignment horizontal="center" vertical="center" wrapText="1"/>
    </xf>
    <xf numFmtId="49" fontId="2" fillId="2" borderId="0" xfId="1" applyNumberFormat="1" applyFont="1" applyFill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2" borderId="0" xfId="2" applyFont="1" applyFill="1" applyAlignment="1" applyProtection="1">
      <alignment vertical="top"/>
    </xf>
    <xf numFmtId="0" fontId="4" fillId="2" borderId="0" xfId="1" applyFont="1" applyFill="1" applyAlignment="1" applyProtection="1">
      <alignment horizontal="center"/>
    </xf>
    <xf numFmtId="0" fontId="11" fillId="2" borderId="0" xfId="1" applyFont="1" applyFill="1" applyAlignment="1" applyProtection="1">
      <alignment horizontal="left"/>
    </xf>
    <xf numFmtId="0" fontId="9" fillId="2" borderId="1" xfId="1" applyFont="1" applyFill="1" applyBorder="1" applyAlignment="1" applyProtection="1">
      <alignment vertical="center"/>
    </xf>
    <xf numFmtId="0" fontId="9" fillId="2" borderId="2" xfId="1" applyFont="1" applyFill="1" applyBorder="1" applyAlignment="1" applyProtection="1">
      <alignment vertical="center"/>
    </xf>
    <xf numFmtId="0" fontId="5" fillId="0" borderId="2" xfId="1" applyFont="1" applyBorder="1" applyAlignment="1" applyProtection="1">
      <alignment vertical="center"/>
    </xf>
    <xf numFmtId="0" fontId="9" fillId="2" borderId="2" xfId="3" applyFont="1" applyFill="1" applyBorder="1" applyAlignment="1" applyProtection="1">
      <alignment vertical="center"/>
    </xf>
    <xf numFmtId="0" fontId="5" fillId="0" borderId="3" xfId="1" applyFont="1" applyBorder="1" applyAlignment="1" applyProtection="1">
      <alignment vertical="center"/>
    </xf>
    <xf numFmtId="0" fontId="12" fillId="0" borderId="2" xfId="4" applyFont="1" applyFill="1" applyBorder="1" applyAlignment="1" applyProtection="1"/>
    <xf numFmtId="0" fontId="13" fillId="2" borderId="1" xfId="1" applyFont="1" applyFill="1" applyBorder="1" applyAlignment="1" applyProtection="1">
      <alignment vertical="center"/>
    </xf>
    <xf numFmtId="0" fontId="13" fillId="2" borderId="2" xfId="1" applyFont="1" applyFill="1" applyBorder="1" applyAlignment="1" applyProtection="1">
      <alignment vertical="center"/>
    </xf>
    <xf numFmtId="0" fontId="5" fillId="2" borderId="1" xfId="2" applyFont="1" applyFill="1" applyBorder="1" applyAlignment="1" applyProtection="1">
      <alignment horizontal="center"/>
    </xf>
    <xf numFmtId="0" fontId="5" fillId="2" borderId="2" xfId="2" applyFont="1" applyFill="1" applyBorder="1" applyProtection="1"/>
    <xf numFmtId="0" fontId="5" fillId="0" borderId="2" xfId="1" applyFont="1" applyBorder="1" applyProtection="1"/>
    <xf numFmtId="0" fontId="5" fillId="2" borderId="2" xfId="1" applyFont="1" applyFill="1" applyBorder="1" applyProtection="1"/>
    <xf numFmtId="0" fontId="2" fillId="0" borderId="3" xfId="1" applyFont="1" applyBorder="1" applyProtection="1"/>
    <xf numFmtId="0" fontId="12" fillId="3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6" xfId="1" applyFont="1" applyBorder="1" applyAlignment="1" applyProtection="1">
      <alignment vertical="center"/>
    </xf>
    <xf numFmtId="0" fontId="13" fillId="0" borderId="0" xfId="4" applyFont="1" applyFill="1" applyBorder="1" applyAlignment="1" applyProtection="1"/>
    <xf numFmtId="0" fontId="13" fillId="2" borderId="5" xfId="1" applyFont="1" applyFill="1" applyBorder="1" applyAlignment="1" applyProtection="1">
      <alignment vertical="center"/>
    </xf>
    <xf numFmtId="0" fontId="13" fillId="2" borderId="0" xfId="1" applyFont="1" applyFill="1" applyBorder="1" applyAlignment="1" applyProtection="1">
      <alignment vertical="center"/>
    </xf>
    <xf numFmtId="0" fontId="5" fillId="2" borderId="5" xfId="2" applyFont="1" applyFill="1" applyBorder="1" applyAlignment="1" applyProtection="1">
      <alignment horizontal="center"/>
    </xf>
    <xf numFmtId="0" fontId="5" fillId="2" borderId="0" xfId="2" applyFont="1" applyFill="1" applyBorder="1" applyProtection="1"/>
    <xf numFmtId="0" fontId="5" fillId="2" borderId="0" xfId="1" applyFont="1" applyFill="1" applyBorder="1" applyProtection="1"/>
    <xf numFmtId="0" fontId="2" fillId="0" borderId="6" xfId="1" applyFont="1" applyBorder="1" applyProtection="1"/>
    <xf numFmtId="0" fontId="9" fillId="0" borderId="5" xfId="1" applyFont="1" applyBorder="1" applyAlignment="1" applyProtection="1">
      <alignment horizontal="center"/>
    </xf>
    <xf numFmtId="0" fontId="9" fillId="0" borderId="6" xfId="1" applyFont="1" applyBorder="1" applyAlignment="1" applyProtection="1">
      <alignment horizontal="center"/>
    </xf>
    <xf numFmtId="164" fontId="12" fillId="3" borderId="0" xfId="1" applyNumberFormat="1" applyFont="1" applyFill="1" applyBorder="1" applyAlignment="1" applyProtection="1">
      <alignment horizontal="center" vertical="center"/>
    </xf>
    <xf numFmtId="0" fontId="12" fillId="3" borderId="0" xfId="1" applyFont="1" applyFill="1" applyBorder="1" applyAlignment="1" applyProtection="1">
      <alignment horizontal="center" vertical="center" wrapText="1"/>
    </xf>
    <xf numFmtId="0" fontId="16" fillId="2" borderId="5" xfId="1" applyFont="1" applyFill="1" applyBorder="1" applyAlignment="1" applyProtection="1">
      <alignment horizontal="center" vertical="center" wrapText="1"/>
    </xf>
    <xf numFmtId="0" fontId="16" fillId="2" borderId="6" xfId="1" applyFont="1" applyFill="1" applyBorder="1" applyAlignment="1" applyProtection="1">
      <alignment horizontal="center" vertical="center" wrapText="1"/>
    </xf>
    <xf numFmtId="0" fontId="9" fillId="2" borderId="0" xfId="3" applyFont="1" applyFill="1" applyBorder="1" applyAlignment="1" applyProtection="1">
      <alignment vertical="center" wrapText="1"/>
    </xf>
    <xf numFmtId="0" fontId="2" fillId="2" borderId="0" xfId="4" applyFont="1" applyFill="1" applyBorder="1" applyAlignment="1" applyProtection="1"/>
    <xf numFmtId="164" fontId="5" fillId="0" borderId="5" xfId="1" applyNumberFormat="1" applyFont="1" applyBorder="1" applyAlignment="1" applyProtection="1">
      <alignment horizontal="center"/>
    </xf>
    <xf numFmtId="164" fontId="5" fillId="0" borderId="6" xfId="1" applyNumberFormat="1" applyFont="1" applyBorder="1" applyAlignment="1" applyProtection="1">
      <alignment horizontal="center"/>
    </xf>
    <xf numFmtId="164" fontId="13" fillId="2" borderId="0" xfId="1" applyNumberFormat="1" applyFont="1" applyFill="1" applyBorder="1" applyAlignment="1" applyProtection="1">
      <alignment horizontal="center"/>
    </xf>
    <xf numFmtId="0" fontId="13" fillId="2" borderId="0" xfId="1" applyFont="1" applyFill="1" applyBorder="1" applyAlignment="1" applyProtection="1">
      <alignment horizontal="center" vertical="center"/>
    </xf>
    <xf numFmtId="166" fontId="13" fillId="2" borderId="0" xfId="1" applyNumberFormat="1" applyFont="1" applyFill="1" applyBorder="1" applyAlignment="1" applyProtection="1">
      <alignment horizontal="center"/>
    </xf>
    <xf numFmtId="0" fontId="5" fillId="4" borderId="5" xfId="1" applyFont="1" applyFill="1" applyBorder="1" applyAlignment="1" applyProtection="1">
      <alignment horizontal="center"/>
    </xf>
    <xf numFmtId="0" fontId="5" fillId="4" borderId="0" xfId="1" applyFont="1" applyFill="1" applyBorder="1" applyAlignment="1" applyProtection="1">
      <alignment horizontal="center"/>
    </xf>
    <xf numFmtId="0" fontId="5" fillId="2" borderId="1" xfId="1" applyFont="1" applyFill="1" applyBorder="1" applyAlignment="1" applyProtection="1">
      <alignment horizontal="center" vertical="center"/>
    </xf>
    <xf numFmtId="2" fontId="5" fillId="2" borderId="2" xfId="1" applyNumberFormat="1" applyFont="1" applyFill="1" applyBorder="1" applyAlignment="1" applyProtection="1">
      <alignment horizontal="center"/>
    </xf>
    <xf numFmtId="1" fontId="5" fillId="0" borderId="3" xfId="1" applyNumberFormat="1" applyFont="1" applyBorder="1" applyAlignment="1" applyProtection="1">
      <alignment horizontal="center"/>
    </xf>
    <xf numFmtId="0" fontId="2" fillId="2" borderId="0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/>
    <xf numFmtId="0" fontId="5" fillId="0" borderId="6" xfId="1" applyFont="1" applyBorder="1" applyProtection="1"/>
    <xf numFmtId="0" fontId="9" fillId="5" borderId="15" xfId="1" applyFont="1" applyFill="1" applyBorder="1" applyAlignment="1" applyProtection="1">
      <alignment horizontal="center" vertical="center"/>
    </xf>
    <xf numFmtId="164" fontId="5" fillId="4" borderId="5" xfId="1" applyNumberFormat="1" applyFont="1" applyFill="1" applyBorder="1" applyAlignment="1" applyProtection="1">
      <alignment horizontal="center"/>
    </xf>
    <xf numFmtId="0" fontId="5" fillId="2" borderId="5" xfId="1" applyFont="1" applyFill="1" applyBorder="1" applyAlignment="1" applyProtection="1">
      <alignment horizontal="center" vertical="center"/>
    </xf>
    <xf numFmtId="2" fontId="5" fillId="2" borderId="0" xfId="1" applyNumberFormat="1" applyFont="1" applyFill="1" applyBorder="1" applyAlignment="1" applyProtection="1">
      <alignment horizontal="center"/>
    </xf>
    <xf numFmtId="1" fontId="5" fillId="0" borderId="6" xfId="1" applyNumberFormat="1" applyFont="1" applyBorder="1" applyAlignment="1" applyProtection="1">
      <alignment horizontal="center"/>
    </xf>
    <xf numFmtId="0" fontId="5" fillId="0" borderId="0" xfId="1" applyFont="1" applyBorder="1" applyAlignment="1" applyProtection="1">
      <alignment vertical="center" wrapText="1"/>
    </xf>
    <xf numFmtId="0" fontId="9" fillId="2" borderId="0" xfId="3" applyFont="1" applyFill="1" applyBorder="1" applyAlignment="1" applyProtection="1">
      <alignment horizontal="left" vertical="center"/>
    </xf>
    <xf numFmtId="167" fontId="5" fillId="0" borderId="0" xfId="1" applyNumberFormat="1" applyFont="1" applyBorder="1" applyAlignment="1" applyProtection="1">
      <alignment vertical="center"/>
    </xf>
    <xf numFmtId="167" fontId="5" fillId="0" borderId="6" xfId="1" applyNumberFormat="1" applyFont="1" applyBorder="1" applyAlignment="1" applyProtection="1">
      <alignment vertical="center"/>
    </xf>
    <xf numFmtId="0" fontId="5" fillId="0" borderId="15" xfId="1" applyFont="1" applyBorder="1" applyAlignment="1" applyProtection="1">
      <alignment horizontal="center"/>
    </xf>
    <xf numFmtId="0" fontId="2" fillId="3" borderId="1" xfId="1" applyFont="1" applyFill="1" applyBorder="1" applyProtection="1"/>
    <xf numFmtId="0" fontId="2" fillId="3" borderId="3" xfId="1" applyFont="1" applyFill="1" applyBorder="1" applyAlignment="1" applyProtection="1">
      <alignment horizontal="center" vertical="center"/>
    </xf>
    <xf numFmtId="0" fontId="18" fillId="0" borderId="11" xfId="4" applyFont="1" applyFill="1" applyBorder="1" applyAlignment="1" applyProtection="1"/>
    <xf numFmtId="0" fontId="5" fillId="0" borderId="5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16" fontId="13" fillId="2" borderId="0" xfId="1" applyNumberFormat="1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166" fontId="5" fillId="2" borderId="11" xfId="1" applyNumberFormat="1" applyFont="1" applyFill="1" applyBorder="1" applyAlignment="1" applyProtection="1">
      <alignment horizontal="center"/>
    </xf>
    <xf numFmtId="1" fontId="5" fillId="0" borderId="12" xfId="1" applyNumberFormat="1" applyFont="1" applyBorder="1" applyAlignment="1" applyProtection="1">
      <alignment horizontal="center"/>
    </xf>
    <xf numFmtId="0" fontId="2" fillId="0" borderId="5" xfId="1" applyFont="1" applyBorder="1" applyProtection="1"/>
    <xf numFmtId="0" fontId="4" fillId="0" borderId="0" xfId="1" applyFont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 vertical="center"/>
    </xf>
    <xf numFmtId="167" fontId="5" fillId="2" borderId="0" xfId="1" applyNumberFormat="1" applyFont="1" applyFill="1" applyBorder="1" applyAlignment="1" applyProtection="1">
      <alignment horizontal="left" vertical="center"/>
    </xf>
    <xf numFmtId="0" fontId="13" fillId="2" borderId="10" xfId="1" applyFont="1" applyFill="1" applyBorder="1" applyAlignment="1" applyProtection="1">
      <alignment horizontal="left" vertical="center"/>
    </xf>
    <xf numFmtId="0" fontId="13" fillId="2" borderId="11" xfId="1" applyFont="1" applyFill="1" applyBorder="1" applyAlignment="1" applyProtection="1">
      <alignment horizontal="center" vertical="center"/>
    </xf>
    <xf numFmtId="0" fontId="5" fillId="2" borderId="0" xfId="1" applyFont="1" applyFill="1" applyProtection="1"/>
    <xf numFmtId="0" fontId="9" fillId="0" borderId="5" xfId="1" applyFont="1" applyBorder="1" applyAlignment="1" applyProtection="1">
      <alignment horizontal="right"/>
    </xf>
    <xf numFmtId="166" fontId="5" fillId="6" borderId="0" xfId="1" applyNumberFormat="1" applyFont="1" applyFill="1" applyBorder="1" applyAlignment="1" applyProtection="1">
      <alignment horizontal="center"/>
    </xf>
    <xf numFmtId="2" fontId="5" fillId="4" borderId="0" xfId="1" applyNumberFormat="1" applyFont="1" applyFill="1" applyBorder="1" applyAlignment="1" applyProtection="1">
      <alignment horizontal="center"/>
    </xf>
    <xf numFmtId="0" fontId="5" fillId="4" borderId="6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vertical="center"/>
    </xf>
    <xf numFmtId="166" fontId="5" fillId="2" borderId="0" xfId="1" applyNumberFormat="1" applyFont="1" applyFill="1" applyBorder="1" applyAlignment="1" applyProtection="1">
      <alignment horizontal="center"/>
    </xf>
    <xf numFmtId="1" fontId="2" fillId="0" borderId="0" xfId="1" applyNumberFormat="1" applyFont="1" applyBorder="1" applyAlignment="1" applyProtection="1">
      <alignment horizontal="center"/>
    </xf>
    <xf numFmtId="164" fontId="12" fillId="2" borderId="2" xfId="1" applyNumberFormat="1" applyFont="1" applyFill="1" applyBorder="1" applyAlignment="1" applyProtection="1">
      <alignment horizontal="right" vertical="center"/>
    </xf>
    <xf numFmtId="0" fontId="12" fillId="2" borderId="3" xfId="1" applyFont="1" applyFill="1" applyBorder="1" applyAlignment="1" applyProtection="1">
      <alignment horizontal="left" vertical="center" wrapText="1"/>
    </xf>
    <xf numFmtId="0" fontId="2" fillId="7" borderId="0" xfId="1" applyFont="1" applyFill="1" applyBorder="1" applyProtection="1"/>
    <xf numFmtId="0" fontId="9" fillId="8" borderId="0" xfId="1" applyFont="1" applyFill="1" applyBorder="1" applyAlignment="1" applyProtection="1">
      <alignment vertical="center" wrapText="1"/>
    </xf>
    <xf numFmtId="0" fontId="0" fillId="8" borderId="0" xfId="0" applyFill="1" applyBorder="1" applyProtection="1"/>
    <xf numFmtId="0" fontId="5" fillId="0" borderId="13" xfId="1" applyFont="1" applyBorder="1" applyAlignment="1" applyProtection="1">
      <alignment horizontal="center" wrapText="1"/>
    </xf>
    <xf numFmtId="0" fontId="9" fillId="0" borderId="0" xfId="1" applyFont="1" applyBorder="1" applyAlignment="1" applyProtection="1">
      <alignment horizontal="right"/>
    </xf>
    <xf numFmtId="164" fontId="12" fillId="2" borderId="11" xfId="1" applyNumberFormat="1" applyFont="1" applyFill="1" applyBorder="1" applyAlignment="1" applyProtection="1">
      <alignment vertical="center"/>
    </xf>
    <xf numFmtId="0" fontId="12" fillId="2" borderId="12" xfId="1" applyFont="1" applyFill="1" applyBorder="1" applyAlignment="1" applyProtection="1">
      <alignment horizontal="left" vertical="center" wrapText="1"/>
    </xf>
    <xf numFmtId="0" fontId="12" fillId="8" borderId="0" xfId="1" applyFont="1" applyFill="1" applyBorder="1" applyAlignment="1" applyProtection="1">
      <alignment vertical="center" wrapText="1"/>
    </xf>
    <xf numFmtId="0" fontId="2" fillId="0" borderId="1" xfId="1" applyFont="1" applyBorder="1" applyProtection="1"/>
    <xf numFmtId="0" fontId="21" fillId="2" borderId="2" xfId="5" applyFont="1" applyFill="1" applyBorder="1" applyProtection="1"/>
    <xf numFmtId="0" fontId="2" fillId="2" borderId="2" xfId="1" applyFont="1" applyFill="1" applyBorder="1" applyProtection="1"/>
    <xf numFmtId="0" fontId="2" fillId="0" borderId="2" xfId="1" applyFont="1" applyBorder="1" applyProtection="1"/>
    <xf numFmtId="0" fontId="2" fillId="9" borderId="2" xfId="1" applyFont="1" applyFill="1" applyBorder="1" applyProtection="1">
      <protection locked="0"/>
    </xf>
    <xf numFmtId="0" fontId="13" fillId="2" borderId="3" xfId="1" applyFont="1" applyFill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 vertical="center" wrapText="1"/>
    </xf>
    <xf numFmtId="166" fontId="5" fillId="6" borderId="0" xfId="2" applyNumberFormat="1" applyFont="1" applyFill="1" applyBorder="1" applyAlignment="1" applyProtection="1">
      <alignment horizontal="center"/>
    </xf>
    <xf numFmtId="2" fontId="5" fillId="0" borderId="0" xfId="1" applyNumberFormat="1" applyFont="1" applyBorder="1" applyAlignment="1" applyProtection="1">
      <alignment horizontal="center"/>
    </xf>
    <xf numFmtId="0" fontId="2" fillId="0" borderId="0" xfId="6" applyAlignment="1" applyProtection="1">
      <alignment horizontal="right"/>
    </xf>
    <xf numFmtId="0" fontId="2" fillId="0" borderId="0" xfId="6" applyProtection="1"/>
    <xf numFmtId="0" fontId="22" fillId="0" borderId="0" xfId="6" applyFont="1" applyProtection="1"/>
    <xf numFmtId="0" fontId="2" fillId="0" borderId="5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3" fillId="8" borderId="0" xfId="1" applyFont="1" applyFill="1" applyBorder="1" applyAlignment="1" applyProtection="1">
      <alignment vertical="center" wrapText="1"/>
    </xf>
    <xf numFmtId="0" fontId="24" fillId="8" borderId="0" xfId="1" applyFont="1" applyFill="1" applyBorder="1" applyAlignment="1" applyProtection="1">
      <alignment horizontal="center" vertical="center" wrapText="1"/>
    </xf>
    <xf numFmtId="164" fontId="13" fillId="9" borderId="0" xfId="1" applyNumberFormat="1" applyFont="1" applyFill="1" applyBorder="1" applyAlignment="1" applyProtection="1">
      <alignment horizontal="right" vertical="center"/>
      <protection locked="0"/>
    </xf>
    <xf numFmtId="0" fontId="13" fillId="2" borderId="6" xfId="1" applyFont="1" applyFill="1" applyBorder="1" applyAlignment="1" applyProtection="1">
      <alignment horizontal="left" vertical="center" wrapText="1"/>
    </xf>
    <xf numFmtId="0" fontId="5" fillId="6" borderId="0" xfId="2" applyFont="1" applyFill="1" applyBorder="1" applyAlignment="1" applyProtection="1">
      <alignment horizontal="center"/>
    </xf>
    <xf numFmtId="164" fontId="2" fillId="0" borderId="0" xfId="6" applyNumberFormat="1" applyAlignment="1" applyProtection="1">
      <alignment horizontal="center" vertical="center"/>
    </xf>
    <xf numFmtId="0" fontId="25" fillId="0" borderId="0" xfId="2" applyFont="1" applyAlignment="1" applyProtection="1">
      <alignment vertical="center" wrapText="1"/>
    </xf>
    <xf numFmtId="0" fontId="5" fillId="0" borderId="0" xfId="2" applyFont="1" applyAlignment="1" applyProtection="1">
      <alignment vertical="center"/>
    </xf>
    <xf numFmtId="0" fontId="5" fillId="0" borderId="0" xfId="2" applyFont="1" applyProtection="1"/>
    <xf numFmtId="0" fontId="5" fillId="0" borderId="0" xfId="2" applyFont="1" applyAlignment="1" applyProtection="1">
      <alignment horizontal="center"/>
    </xf>
    <xf numFmtId="0" fontId="9" fillId="3" borderId="10" xfId="1" applyFont="1" applyFill="1" applyBorder="1" applyAlignment="1" applyProtection="1">
      <alignment horizontal="center" vertical="center" wrapText="1"/>
    </xf>
    <xf numFmtId="0" fontId="9" fillId="3" borderId="12" xfId="1" applyFont="1" applyFill="1" applyBorder="1" applyAlignment="1" applyProtection="1">
      <alignment horizontal="center" vertical="center" wrapText="1"/>
    </xf>
    <xf numFmtId="164" fontId="9" fillId="3" borderId="12" xfId="1" applyNumberFormat="1" applyFont="1" applyFill="1" applyBorder="1" applyAlignment="1" applyProtection="1">
      <alignment horizontal="center" vertical="center"/>
    </xf>
    <xf numFmtId="0" fontId="5" fillId="8" borderId="0" xfId="1" applyFont="1" applyFill="1" applyBorder="1" applyAlignment="1" applyProtection="1">
      <alignment horizontal="center" vertical="center"/>
    </xf>
    <xf numFmtId="0" fontId="26" fillId="8" borderId="0" xfId="1" applyFont="1" applyFill="1" applyBorder="1" applyAlignment="1" applyProtection="1">
      <alignment horizontal="center"/>
    </xf>
    <xf numFmtId="1" fontId="26" fillId="8" borderId="0" xfId="1" applyNumberFormat="1" applyFont="1" applyFill="1" applyBorder="1" applyAlignment="1" applyProtection="1">
      <alignment horizontal="center"/>
    </xf>
    <xf numFmtId="0" fontId="2" fillId="0" borderId="6" xfId="1" applyFont="1" applyBorder="1" applyAlignment="1" applyProtection="1">
      <alignment vertical="center"/>
    </xf>
    <xf numFmtId="0" fontId="2" fillId="0" borderId="10" xfId="1" applyFont="1" applyBorder="1" applyProtection="1"/>
    <xf numFmtId="0" fontId="21" fillId="2" borderId="11" xfId="5" applyFont="1" applyFill="1" applyBorder="1" applyAlignment="1" applyProtection="1">
      <alignment horizontal="left"/>
    </xf>
    <xf numFmtId="0" fontId="2" fillId="2" borderId="11" xfId="1" applyFont="1" applyFill="1" applyBorder="1" applyProtection="1"/>
    <xf numFmtId="0" fontId="2" fillId="0" borderId="11" xfId="1" applyFont="1" applyBorder="1" applyProtection="1"/>
    <xf numFmtId="164" fontId="13" fillId="9" borderId="11" xfId="1" applyNumberFormat="1" applyFont="1" applyFill="1" applyBorder="1" applyAlignment="1" applyProtection="1">
      <alignment vertical="center"/>
      <protection locked="0"/>
    </xf>
    <xf numFmtId="0" fontId="13" fillId="2" borderId="12" xfId="1" applyFont="1" applyFill="1" applyBorder="1" applyAlignment="1" applyProtection="1">
      <alignment horizontal="left" vertical="center" wrapText="1"/>
    </xf>
    <xf numFmtId="0" fontId="5" fillId="6" borderId="11" xfId="2" applyFont="1" applyFill="1" applyBorder="1" applyAlignment="1" applyProtection="1">
      <alignment horizontal="center"/>
    </xf>
    <xf numFmtId="164" fontId="5" fillId="0" borderId="0" xfId="2" applyNumberFormat="1" applyFont="1" applyAlignment="1" applyProtection="1">
      <alignment horizontal="center"/>
    </xf>
    <xf numFmtId="2" fontId="5" fillId="0" borderId="0" xfId="2" applyNumberFormat="1" applyFont="1" applyProtection="1"/>
    <xf numFmtId="0" fontId="2" fillId="0" borderId="0" xfId="2" applyProtection="1"/>
    <xf numFmtId="0" fontId="13" fillId="2" borderId="5" xfId="1" applyFont="1" applyFill="1" applyBorder="1" applyAlignment="1" applyProtection="1">
      <alignment horizontal="center" vertical="center"/>
    </xf>
    <xf numFmtId="164" fontId="13" fillId="2" borderId="6" xfId="1" applyNumberFormat="1" applyFont="1" applyFill="1" applyBorder="1" applyAlignment="1" applyProtection="1">
      <alignment horizontal="center"/>
    </xf>
    <xf numFmtId="164" fontId="27" fillId="2" borderId="0" xfId="1" applyNumberFormat="1" applyFont="1" applyFill="1" applyBorder="1" applyAlignment="1" applyProtection="1">
      <alignment horizontal="center" vertical="center"/>
      <protection locked="0"/>
    </xf>
    <xf numFmtId="164" fontId="27" fillId="2" borderId="5" xfId="1" applyNumberFormat="1" applyFont="1" applyFill="1" applyBorder="1" applyAlignment="1" applyProtection="1">
      <alignment horizontal="center"/>
    </xf>
    <xf numFmtId="1" fontId="13" fillId="2" borderId="6" xfId="1" applyNumberFormat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0" fontId="5" fillId="8" borderId="0" xfId="1" applyFont="1" applyFill="1" applyBorder="1" applyAlignment="1" applyProtection="1">
      <alignment horizontal="left"/>
    </xf>
    <xf numFmtId="0" fontId="22" fillId="2" borderId="0" xfId="1" applyFont="1" applyFill="1" applyBorder="1" applyProtection="1"/>
    <xf numFmtId="0" fontId="2" fillId="0" borderId="0" xfId="1" applyFont="1" applyAlignment="1" applyProtection="1">
      <alignment vertical="center"/>
    </xf>
    <xf numFmtId="0" fontId="5" fillId="2" borderId="5" xfId="2" applyFont="1" applyFill="1" applyBorder="1" applyAlignment="1" applyProtection="1">
      <alignment horizontal="center" vertical="center"/>
    </xf>
    <xf numFmtId="0" fontId="5" fillId="2" borderId="0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/>
    </xf>
    <xf numFmtId="0" fontId="5" fillId="2" borderId="6" xfId="6" applyFont="1" applyFill="1" applyBorder="1" applyAlignment="1" applyProtection="1">
      <alignment horizontal="left" vertical="center"/>
    </xf>
    <xf numFmtId="0" fontId="5" fillId="0" borderId="1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164" fontId="13" fillId="2" borderId="11" xfId="1" applyNumberFormat="1" applyFont="1" applyFill="1" applyBorder="1" applyAlignment="1" applyProtection="1">
      <alignment horizontal="center"/>
    </xf>
    <xf numFmtId="0" fontId="13" fillId="2" borderId="11" xfId="1" applyFont="1" applyFill="1" applyBorder="1" applyAlignment="1" applyProtection="1">
      <alignment vertical="center"/>
    </xf>
    <xf numFmtId="166" fontId="13" fillId="2" borderId="11" xfId="1" applyNumberFormat="1" applyFont="1" applyFill="1" applyBorder="1" applyAlignment="1" applyProtection="1">
      <alignment horizontal="center"/>
    </xf>
    <xf numFmtId="0" fontId="2" fillId="0" borderId="0" xfId="2" applyAlignment="1" applyProtection="1">
      <alignment vertical="center"/>
    </xf>
    <xf numFmtId="0" fontId="2" fillId="0" borderId="0" xfId="6" applyAlignment="1" applyProtection="1">
      <alignment vertical="center"/>
    </xf>
    <xf numFmtId="0" fontId="2" fillId="0" borderId="0" xfId="6" applyAlignment="1" applyProtection="1">
      <alignment horizontal="right" vertical="center"/>
    </xf>
    <xf numFmtId="0" fontId="22" fillId="0" borderId="0" xfId="6" applyFont="1" applyAlignment="1" applyProtection="1">
      <alignment vertical="center"/>
    </xf>
    <xf numFmtId="2" fontId="26" fillId="8" borderId="0" xfId="1" applyNumberFormat="1" applyFont="1" applyFill="1" applyBorder="1" applyAlignment="1" applyProtection="1">
      <alignment horizontal="center"/>
    </xf>
    <xf numFmtId="164" fontId="5" fillId="8" borderId="0" xfId="1" applyNumberFormat="1" applyFont="1" applyFill="1" applyBorder="1" applyAlignment="1" applyProtection="1">
      <alignment horizontal="center"/>
    </xf>
    <xf numFmtId="2" fontId="2" fillId="2" borderId="0" xfId="1" applyNumberFormat="1" applyFont="1" applyFill="1" applyBorder="1" applyProtection="1"/>
    <xf numFmtId="0" fontId="5" fillId="2" borderId="6" xfId="2" applyFont="1" applyFill="1" applyBorder="1" applyProtection="1"/>
    <xf numFmtId="0" fontId="28" fillId="0" borderId="0" xfId="0" applyFont="1" applyProtection="1"/>
    <xf numFmtId="0" fontId="5" fillId="0" borderId="10" xfId="1" applyFont="1" applyBorder="1" applyAlignment="1" applyProtection="1">
      <alignment horizontal="left" vertical="center"/>
    </xf>
    <xf numFmtId="0" fontId="5" fillId="6" borderId="11" xfId="2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2" fontId="21" fillId="2" borderId="0" xfId="5" applyNumberFormat="1" applyFont="1" applyFill="1" applyBorder="1" applyAlignment="1" applyProtection="1">
      <alignment horizontal="center"/>
    </xf>
    <xf numFmtId="0" fontId="5" fillId="0" borderId="0" xfId="1" applyFont="1" applyAlignment="1" applyProtection="1">
      <alignment horizontal="center" vertical="center" textRotation="90"/>
    </xf>
    <xf numFmtId="0" fontId="5" fillId="0" borderId="7" xfId="1" applyFont="1" applyBorder="1" applyProtection="1"/>
    <xf numFmtId="0" fontId="9" fillId="6" borderId="0" xfId="2" applyFont="1" applyFill="1" applyBorder="1" applyAlignment="1" applyProtection="1">
      <alignment horizontal="center"/>
    </xf>
    <xf numFmtId="0" fontId="9" fillId="6" borderId="6" xfId="2" applyFont="1" applyFill="1" applyBorder="1" applyAlignment="1" applyProtection="1">
      <alignment horizontal="center"/>
    </xf>
    <xf numFmtId="0" fontId="9" fillId="6" borderId="5" xfId="2" applyFont="1" applyFill="1" applyBorder="1" applyAlignment="1" applyProtection="1">
      <alignment horizontal="center"/>
    </xf>
    <xf numFmtId="16" fontId="13" fillId="2" borderId="5" xfId="1" applyNumberFormat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166" fontId="5" fillId="0" borderId="6" xfId="1" applyNumberFormat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164" fontId="5" fillId="0" borderId="10" xfId="1" applyNumberFormat="1" applyFont="1" applyBorder="1" applyAlignment="1" applyProtection="1">
      <alignment horizontal="center"/>
    </xf>
    <xf numFmtId="0" fontId="5" fillId="4" borderId="11" xfId="1" applyFont="1" applyFill="1" applyBorder="1" applyAlignment="1" applyProtection="1">
      <alignment horizontal="center"/>
    </xf>
    <xf numFmtId="0" fontId="5" fillId="4" borderId="12" xfId="1" applyFont="1" applyFill="1" applyBorder="1" applyAlignment="1" applyProtection="1">
      <alignment horizontal="center"/>
    </xf>
    <xf numFmtId="2" fontId="26" fillId="8" borderId="0" xfId="1" applyNumberFormat="1" applyFont="1" applyFill="1" applyBorder="1" applyAlignment="1" applyProtection="1">
      <alignment horizontal="center" vertical="center" wrapText="1"/>
    </xf>
    <xf numFmtId="0" fontId="26" fillId="8" borderId="0" xfId="1" applyFont="1" applyFill="1" applyBorder="1" applyAlignment="1" applyProtection="1">
      <alignment horizontal="center" vertical="center"/>
    </xf>
    <xf numFmtId="0" fontId="22" fillId="2" borderId="0" xfId="1" applyFont="1" applyFill="1" applyBorder="1" applyAlignment="1" applyProtection="1">
      <alignment horizontal="center"/>
    </xf>
    <xf numFmtId="169" fontId="2" fillId="0" borderId="0" xfId="1" applyNumberFormat="1" applyFont="1" applyProtection="1"/>
    <xf numFmtId="2" fontId="2" fillId="2" borderId="0" xfId="1" applyNumberFormat="1" applyFont="1" applyFill="1" applyAlignment="1" applyProtection="1">
      <alignment horizontal="center"/>
    </xf>
    <xf numFmtId="0" fontId="0" fillId="0" borderId="0" xfId="0" applyProtection="1"/>
    <xf numFmtId="0" fontId="5" fillId="6" borderId="10" xfId="2" applyFont="1" applyFill="1" applyBorder="1" applyAlignment="1" applyProtection="1">
      <alignment horizontal="center"/>
    </xf>
    <xf numFmtId="0" fontId="2" fillId="0" borderId="11" xfId="1" applyFont="1" applyBorder="1" applyAlignment="1" applyProtection="1"/>
    <xf numFmtId="0" fontId="2" fillId="0" borderId="12" xfId="1" applyFont="1" applyBorder="1" applyAlignment="1" applyProtection="1"/>
    <xf numFmtId="2" fontId="5" fillId="0" borderId="0" xfId="2" applyNumberFormat="1" applyFont="1" applyAlignment="1" applyProtection="1">
      <alignment horizontal="center"/>
    </xf>
    <xf numFmtId="2" fontId="13" fillId="2" borderId="6" xfId="1" applyNumberFormat="1" applyFont="1" applyFill="1" applyBorder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2" fillId="6" borderId="0" xfId="2" applyFill="1" applyAlignment="1" applyProtection="1">
      <alignment horizontal="center"/>
    </xf>
    <xf numFmtId="164" fontId="4" fillId="2" borderId="0" xfId="1" applyNumberFormat="1" applyFont="1" applyFill="1" applyAlignment="1" applyProtection="1">
      <alignment horizontal="center" vertical="center"/>
    </xf>
    <xf numFmtId="170" fontId="2" fillId="0" borderId="0" xfId="1" applyNumberFormat="1" applyFont="1" applyAlignment="1" applyProtection="1">
      <alignment horizontal="center"/>
    </xf>
    <xf numFmtId="0" fontId="27" fillId="8" borderId="0" xfId="1" applyFont="1" applyFill="1" applyBorder="1" applyAlignment="1" applyProtection="1">
      <alignment vertical="center"/>
    </xf>
    <xf numFmtId="0" fontId="29" fillId="0" borderId="6" xfId="1" applyFont="1" applyBorder="1" applyProtection="1"/>
    <xf numFmtId="164" fontId="2" fillId="2" borderId="0" xfId="1" applyNumberFormat="1" applyFont="1" applyFill="1" applyAlignment="1" applyProtection="1">
      <alignment horizontal="center"/>
    </xf>
    <xf numFmtId="0" fontId="9" fillId="0" borderId="0" xfId="1" applyFont="1" applyAlignment="1" applyProtection="1">
      <alignment horizontal="center"/>
    </xf>
    <xf numFmtId="166" fontId="13" fillId="2" borderId="6" xfId="1" applyNumberFormat="1" applyFont="1" applyFill="1" applyBorder="1" applyAlignment="1" applyProtection="1">
      <alignment horizontal="center"/>
    </xf>
    <xf numFmtId="0" fontId="2" fillId="2" borderId="0" xfId="1" applyFont="1" applyFill="1" applyAlignment="1" applyProtection="1">
      <alignment horizontal="center" vertical="center"/>
    </xf>
    <xf numFmtId="0" fontId="30" fillId="0" borderId="0" xfId="6" applyFont="1" applyAlignment="1" applyProtection="1">
      <alignment horizontal="center"/>
    </xf>
    <xf numFmtId="164" fontId="13" fillId="10" borderId="6" xfId="1" applyNumberFormat="1" applyFont="1" applyFill="1" applyBorder="1" applyAlignment="1" applyProtection="1">
      <alignment horizontal="center"/>
    </xf>
    <xf numFmtId="0" fontId="29" fillId="0" borderId="0" xfId="1" applyFont="1" applyBorder="1" applyProtection="1"/>
    <xf numFmtId="164" fontId="2" fillId="0" borderId="0" xfId="1" applyNumberFormat="1" applyFont="1" applyProtection="1"/>
    <xf numFmtId="0" fontId="5" fillId="0" borderId="0" xfId="6" applyFont="1" applyProtection="1"/>
    <xf numFmtId="164" fontId="5" fillId="0" borderId="0" xfId="6" applyNumberFormat="1" applyFont="1" applyAlignment="1" applyProtection="1">
      <alignment horizontal="center" vertical="center"/>
    </xf>
    <xf numFmtId="171" fontId="5" fillId="0" borderId="0" xfId="6" applyNumberFormat="1" applyFont="1" applyAlignment="1" applyProtection="1">
      <alignment horizontal="center" vertical="center"/>
    </xf>
    <xf numFmtId="0" fontId="5" fillId="0" borderId="0" xfId="6" applyFont="1" applyAlignment="1" applyProtection="1">
      <alignment horizontal="center" vertical="center"/>
    </xf>
    <xf numFmtId="164" fontId="13" fillId="2" borderId="9" xfId="1" applyNumberFormat="1" applyFont="1" applyFill="1" applyBorder="1" applyAlignment="1" applyProtection="1">
      <alignment vertical="center"/>
    </xf>
    <xf numFmtId="168" fontId="2" fillId="2" borderId="0" xfId="1" applyNumberFormat="1" applyFont="1" applyFill="1" applyProtection="1"/>
    <xf numFmtId="2" fontId="5" fillId="0" borderId="0" xfId="6" applyNumberFormat="1" applyFont="1" applyAlignment="1" applyProtection="1">
      <alignment horizontal="center" vertical="center"/>
    </xf>
    <xf numFmtId="165" fontId="2" fillId="2" borderId="0" xfId="1" applyNumberFormat="1" applyFont="1" applyFill="1" applyProtection="1"/>
    <xf numFmtId="0" fontId="2" fillId="2" borderId="0" xfId="1" applyFont="1" applyFill="1" applyAlignment="1" applyProtection="1">
      <alignment horizontal="center"/>
    </xf>
    <xf numFmtId="0" fontId="12" fillId="2" borderId="2" xfId="1" applyFont="1" applyFill="1" applyBorder="1" applyAlignment="1" applyProtection="1">
      <alignment vertical="center"/>
    </xf>
    <xf numFmtId="0" fontId="27" fillId="2" borderId="2" xfId="1" applyFont="1" applyFill="1" applyBorder="1" applyAlignment="1" applyProtection="1">
      <alignment vertical="center"/>
    </xf>
    <xf numFmtId="0" fontId="13" fillId="0" borderId="2" xfId="1" applyFont="1" applyBorder="1" applyProtection="1"/>
    <xf numFmtId="165" fontId="12" fillId="2" borderId="2" xfId="2" applyNumberFormat="1" applyFont="1" applyFill="1" applyBorder="1" applyAlignment="1" applyProtection="1">
      <alignment horizontal="right" vertical="center"/>
    </xf>
    <xf numFmtId="0" fontId="12" fillId="0" borderId="2" xfId="1" applyFont="1" applyBorder="1" applyAlignment="1" applyProtection="1">
      <alignment vertical="center"/>
    </xf>
    <xf numFmtId="0" fontId="12" fillId="0" borderId="3" xfId="1" applyFont="1" applyBorder="1" applyAlignment="1" applyProtection="1">
      <alignment vertical="center"/>
    </xf>
    <xf numFmtId="164" fontId="2" fillId="2" borderId="0" xfId="1" applyNumberFormat="1" applyFont="1" applyFill="1" applyProtection="1"/>
    <xf numFmtId="0" fontId="5" fillId="0" borderId="0" xfId="6" applyFont="1" applyAlignment="1" applyProtection="1">
      <alignment vertical="center"/>
    </xf>
    <xf numFmtId="165" fontId="12" fillId="2" borderId="11" xfId="2" applyNumberFormat="1" applyFont="1" applyFill="1" applyBorder="1" applyAlignment="1" applyProtection="1">
      <alignment horizontal="right" vertical="center"/>
    </xf>
    <xf numFmtId="0" fontId="12" fillId="0" borderId="11" xfId="1" applyFont="1" applyBorder="1" applyAlignment="1" applyProtection="1">
      <alignment vertical="center"/>
    </xf>
    <xf numFmtId="0" fontId="27" fillId="2" borderId="11" xfId="1" applyFont="1" applyFill="1" applyBorder="1" applyAlignment="1" applyProtection="1">
      <alignment vertical="center"/>
    </xf>
    <xf numFmtId="0" fontId="12" fillId="0" borderId="12" xfId="1" applyFont="1" applyBorder="1" applyAlignment="1" applyProtection="1">
      <alignment vertical="center"/>
    </xf>
    <xf numFmtId="0" fontId="4" fillId="2" borderId="0" xfId="1" applyFont="1" applyFill="1" applyProtection="1"/>
    <xf numFmtId="0" fontId="9" fillId="2" borderId="0" xfId="1" applyFont="1" applyFill="1" applyBorder="1" applyAlignment="1" applyProtection="1">
      <alignment horizontal="left" vertical="center"/>
    </xf>
    <xf numFmtId="0" fontId="19" fillId="2" borderId="0" xfId="1" applyFont="1" applyFill="1" applyBorder="1" applyAlignment="1" applyProtection="1">
      <alignment vertical="center"/>
    </xf>
    <xf numFmtId="165" fontId="9" fillId="2" borderId="0" xfId="2" applyNumberFormat="1" applyFont="1" applyFill="1" applyBorder="1" applyAlignment="1" applyProtection="1">
      <alignment horizontal="right" vertical="center"/>
    </xf>
    <xf numFmtId="0" fontId="9" fillId="0" borderId="0" xfId="1" applyFont="1" applyBorder="1" applyAlignment="1" applyProtection="1">
      <alignment vertical="center"/>
    </xf>
    <xf numFmtId="0" fontId="2" fillId="0" borderId="0" xfId="1" applyFont="1" applyAlignment="1" applyProtection="1">
      <alignment horizontal="left" vertical="center"/>
    </xf>
    <xf numFmtId="164" fontId="2" fillId="2" borderId="0" xfId="1" applyNumberFormat="1" applyFont="1" applyFill="1" applyBorder="1" applyProtection="1"/>
    <xf numFmtId="168" fontId="2" fillId="2" borderId="0" xfId="2" applyNumberFormat="1" applyFill="1" applyAlignment="1" applyProtection="1">
      <alignment horizontal="center" vertical="center"/>
    </xf>
    <xf numFmtId="1" fontId="5" fillId="0" borderId="0" xfId="6" applyNumberFormat="1" applyFont="1" applyAlignment="1" applyProtection="1">
      <alignment horizontal="center" vertical="center"/>
    </xf>
    <xf numFmtId="0" fontId="5" fillId="2" borderId="10" xfId="2" applyFont="1" applyFill="1" applyBorder="1" applyAlignment="1" applyProtection="1">
      <alignment horizontal="center"/>
    </xf>
    <xf numFmtId="0" fontId="5" fillId="2" borderId="11" xfId="2" applyFont="1" applyFill="1" applyBorder="1" applyProtection="1"/>
    <xf numFmtId="0" fontId="5" fillId="0" borderId="11" xfId="1" applyFont="1" applyBorder="1" applyProtection="1"/>
    <xf numFmtId="0" fontId="5" fillId="2" borderId="11" xfId="1" applyFont="1" applyFill="1" applyBorder="1" applyProtection="1"/>
    <xf numFmtId="0" fontId="5" fillId="0" borderId="11" xfId="1" applyFont="1" applyBorder="1" applyAlignment="1" applyProtection="1">
      <alignment horizontal="left" vertical="center"/>
    </xf>
    <xf numFmtId="0" fontId="2" fillId="0" borderId="12" xfId="1" applyFont="1" applyBorder="1" applyProtection="1"/>
    <xf numFmtId="0" fontId="9" fillId="12" borderId="0" xfId="6" applyFont="1" applyFill="1" applyAlignment="1" applyProtection="1">
      <alignment horizontal="center" vertical="center"/>
    </xf>
    <xf numFmtId="0" fontId="12" fillId="2" borderId="6" xfId="1" applyFont="1" applyFill="1" applyBorder="1" applyAlignment="1" applyProtection="1"/>
    <xf numFmtId="0" fontId="13" fillId="2" borderId="6" xfId="1" applyFont="1" applyFill="1" applyBorder="1" applyAlignment="1" applyProtection="1"/>
    <xf numFmtId="168" fontId="2" fillId="2" borderId="0" xfId="2" applyNumberFormat="1" applyFill="1" applyAlignment="1" applyProtection="1">
      <alignment vertical="center"/>
    </xf>
    <xf numFmtId="0" fontId="17" fillId="0" borderId="0" xfId="6" applyFont="1" applyAlignment="1" applyProtection="1">
      <alignment horizontal="center"/>
    </xf>
    <xf numFmtId="0" fontId="4" fillId="2" borderId="0" xfId="1" applyFont="1" applyFill="1" applyBorder="1" applyProtection="1"/>
    <xf numFmtId="1" fontId="5" fillId="4" borderId="0" xfId="1" applyNumberFormat="1" applyFont="1" applyFill="1" applyAlignment="1" applyProtection="1">
      <alignment horizontal="center" vertical="center"/>
    </xf>
    <xf numFmtId="0" fontId="32" fillId="4" borderId="0" xfId="1" applyFont="1" applyFill="1" applyAlignment="1" applyProtection="1">
      <alignment horizontal="right"/>
    </xf>
    <xf numFmtId="0" fontId="26" fillId="0" borderId="0" xfId="6" applyFont="1" applyAlignment="1" applyProtection="1">
      <alignment horizontal="left"/>
    </xf>
    <xf numFmtId="0" fontId="27" fillId="2" borderId="6" xfId="1" applyFont="1" applyFill="1" applyBorder="1" applyAlignment="1" applyProtection="1"/>
    <xf numFmtId="0" fontId="5" fillId="2" borderId="0" xfId="1" applyFont="1" applyFill="1" applyBorder="1" applyAlignment="1" applyProtection="1">
      <alignment horizontal="center"/>
    </xf>
    <xf numFmtId="172" fontId="2" fillId="2" borderId="0" xfId="1" applyNumberFormat="1" applyFont="1" applyFill="1" applyBorder="1" applyAlignment="1" applyProtection="1">
      <alignment horizontal="center"/>
    </xf>
    <xf numFmtId="1" fontId="5" fillId="4" borderId="0" xfId="1" applyNumberFormat="1" applyFont="1" applyFill="1" applyAlignment="1" applyProtection="1">
      <alignment horizontal="center"/>
    </xf>
    <xf numFmtId="166" fontId="5" fillId="0" borderId="0" xfId="6" applyNumberFormat="1" applyFont="1" applyAlignment="1" applyProtection="1">
      <alignment horizontal="center" vertical="center"/>
    </xf>
    <xf numFmtId="0" fontId="2" fillId="2" borderId="6" xfId="1" applyFont="1" applyFill="1" applyBorder="1" applyProtection="1"/>
    <xf numFmtId="0" fontId="7" fillId="2" borderId="0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173" fontId="2" fillId="2" borderId="0" xfId="1" applyNumberFormat="1" applyFont="1" applyFill="1" applyBorder="1" applyAlignment="1" applyProtection="1">
      <alignment horizontal="center" vertical="center"/>
    </xf>
    <xf numFmtId="0" fontId="26" fillId="0" borderId="0" xfId="6" applyFont="1" applyProtection="1"/>
    <xf numFmtId="0" fontId="5" fillId="0" borderId="0" xfId="6" applyFont="1" applyAlignment="1" applyProtection="1">
      <alignment horizontal="right"/>
    </xf>
    <xf numFmtId="0" fontId="7" fillId="2" borderId="0" xfId="1" applyFont="1" applyFill="1" applyBorder="1" applyAlignment="1" applyProtection="1">
      <alignment horizontal="center" vertical="center" wrapText="1"/>
    </xf>
    <xf numFmtId="172" fontId="2" fillId="2" borderId="0" xfId="1" applyNumberFormat="1" applyFont="1" applyFill="1" applyAlignment="1" applyProtection="1">
      <alignment horizontal="center"/>
    </xf>
    <xf numFmtId="0" fontId="2" fillId="0" borderId="0" xfId="1" applyFont="1" applyAlignment="1" applyProtection="1">
      <alignment horizontal="right"/>
    </xf>
    <xf numFmtId="166" fontId="2" fillId="0" borderId="0" xfId="1" applyNumberFormat="1" applyFont="1" applyAlignment="1" applyProtection="1">
      <alignment horizontal="left"/>
    </xf>
    <xf numFmtId="164" fontId="5" fillId="0" borderId="0" xfId="6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0" fontId="33" fillId="2" borderId="1" xfId="1" applyFont="1" applyFill="1" applyBorder="1" applyAlignment="1" applyProtection="1">
      <alignment horizontal="left" vertical="top"/>
    </xf>
    <xf numFmtId="0" fontId="35" fillId="2" borderId="3" xfId="1" applyFont="1" applyFill="1" applyBorder="1" applyAlignment="1" applyProtection="1">
      <alignment vertical="center" wrapText="1"/>
    </xf>
    <xf numFmtId="0" fontId="29" fillId="2" borderId="0" xfId="1" applyFont="1" applyFill="1" applyBorder="1" applyProtection="1"/>
    <xf numFmtId="173" fontId="36" fillId="2" borderId="0" xfId="1" applyNumberFormat="1" applyFont="1" applyFill="1" applyBorder="1" applyAlignment="1" applyProtection="1">
      <alignment horizontal="center"/>
    </xf>
    <xf numFmtId="0" fontId="8" fillId="0" borderId="0" xfId="6" applyFont="1" applyProtection="1"/>
    <xf numFmtId="0" fontId="33" fillId="2" borderId="5" xfId="1" applyFont="1" applyFill="1" applyBorder="1" applyAlignment="1" applyProtection="1">
      <alignment horizontal="left" vertical="top"/>
    </xf>
    <xf numFmtId="0" fontId="35" fillId="2" borderId="6" xfId="1" applyFont="1" applyFill="1" applyBorder="1" applyAlignment="1" applyProtection="1">
      <alignment vertical="center" wrapText="1"/>
    </xf>
    <xf numFmtId="0" fontId="29" fillId="2" borderId="0" xfId="1" applyFont="1" applyFill="1" applyBorder="1" applyAlignment="1" applyProtection="1">
      <alignment horizontal="left"/>
    </xf>
    <xf numFmtId="1" fontId="36" fillId="2" borderId="0" xfId="1" applyNumberFormat="1" applyFont="1" applyFill="1" applyBorder="1" applyAlignment="1" applyProtection="1">
      <alignment horizontal="center"/>
    </xf>
    <xf numFmtId="173" fontId="2" fillId="2" borderId="0" xfId="1" applyNumberFormat="1" applyFont="1" applyFill="1" applyAlignment="1" applyProtection="1">
      <alignment horizontal="center" vertical="center"/>
    </xf>
    <xf numFmtId="0" fontId="35" fillId="2" borderId="16" xfId="1" applyFont="1" applyFill="1" applyBorder="1" applyAlignment="1" applyProtection="1">
      <alignment horizontal="center" vertical="top"/>
    </xf>
    <xf numFmtId="0" fontId="35" fillId="2" borderId="18" xfId="1" applyFont="1" applyFill="1" applyBorder="1" applyAlignment="1" applyProtection="1">
      <alignment vertical="center" wrapText="1"/>
    </xf>
    <xf numFmtId="0" fontId="35" fillId="2" borderId="0" xfId="1" applyFont="1" applyFill="1" applyBorder="1" applyAlignment="1" applyProtection="1">
      <alignment horizontal="left" vertical="center" wrapText="1"/>
    </xf>
    <xf numFmtId="173" fontId="36" fillId="2" borderId="0" xfId="1" applyNumberFormat="1" applyFont="1" applyFill="1" applyAlignment="1" applyProtection="1">
      <alignment horizontal="center"/>
    </xf>
    <xf numFmtId="1" fontId="36" fillId="2" borderId="0" xfId="1" applyNumberFormat="1" applyFont="1" applyFill="1" applyAlignment="1" applyProtection="1">
      <alignment horizontal="center"/>
    </xf>
    <xf numFmtId="0" fontId="37" fillId="2" borderId="0" xfId="2" applyFont="1" applyFill="1" applyBorder="1" applyAlignment="1" applyProtection="1">
      <alignment horizontal="center"/>
    </xf>
    <xf numFmtId="0" fontId="33" fillId="2" borderId="0" xfId="1" applyFont="1" applyFill="1" applyAlignment="1" applyProtection="1">
      <alignment vertical="top"/>
    </xf>
    <xf numFmtId="0" fontId="36" fillId="0" borderId="0" xfId="6" applyFont="1" applyProtection="1"/>
    <xf numFmtId="0" fontId="39" fillId="2" borderId="0" xfId="7" applyFont="1" applyFill="1" applyBorder="1" applyAlignment="1" applyProtection="1">
      <alignment horizontal="center" vertical="top" wrapText="1"/>
    </xf>
    <xf numFmtId="0" fontId="0" fillId="0" borderId="0" xfId="1" applyFont="1" applyAlignment="1" applyProtection="1">
      <alignment horizontal="center"/>
    </xf>
    <xf numFmtId="2" fontId="2" fillId="0" borderId="0" xfId="6" applyNumberFormat="1" applyAlignment="1" applyProtection="1">
      <alignment horizontal="center"/>
    </xf>
    <xf numFmtId="0" fontId="12" fillId="5" borderId="0" xfId="2" applyFont="1" applyFill="1" applyAlignment="1" applyProtection="1">
      <alignment vertical="center"/>
    </xf>
    <xf numFmtId="0" fontId="2" fillId="14" borderId="0" xfId="6" applyFill="1" applyProtection="1"/>
    <xf numFmtId="0" fontId="12" fillId="2" borderId="0" xfId="2" applyFont="1" applyFill="1" applyAlignment="1" applyProtection="1">
      <alignment vertical="center"/>
    </xf>
    <xf numFmtId="0" fontId="2" fillId="2" borderId="0" xfId="2" applyFill="1" applyProtection="1"/>
    <xf numFmtId="1" fontId="2" fillId="0" borderId="0" xfId="1" applyNumberFormat="1" applyFont="1" applyProtection="1"/>
    <xf numFmtId="168" fontId="22" fillId="2" borderId="0" xfId="1" applyNumberFormat="1" applyFont="1" applyFill="1" applyProtection="1"/>
    <xf numFmtId="0" fontId="0" fillId="2" borderId="0" xfId="1" applyFont="1" applyFill="1" applyAlignment="1" applyProtection="1">
      <alignment horizontal="center"/>
    </xf>
    <xf numFmtId="0" fontId="0" fillId="2" borderId="0" xfId="1" applyFont="1" applyFill="1" applyProtection="1"/>
    <xf numFmtId="0" fontId="9" fillId="5" borderId="0" xfId="2" applyFont="1" applyFill="1" applyProtection="1"/>
    <xf numFmtId="0" fontId="4" fillId="2" borderId="0" xfId="1" applyFont="1" applyFill="1" applyAlignment="1" applyProtection="1">
      <alignment wrapText="1"/>
    </xf>
    <xf numFmtId="0" fontId="40" fillId="2" borderId="0" xfId="7" applyFont="1" applyFill="1" applyAlignment="1" applyProtection="1">
      <alignment vertical="top" wrapText="1"/>
    </xf>
    <xf numFmtId="0" fontId="42" fillId="2" borderId="0" xfId="8" applyFont="1" applyFill="1" applyBorder="1" applyAlignment="1" applyProtection="1">
      <alignment horizontal="center"/>
    </xf>
    <xf numFmtId="0" fontId="42" fillId="2" borderId="0" xfId="8" applyFont="1" applyFill="1" applyBorder="1" applyAlignment="1" applyProtection="1"/>
    <xf numFmtId="0" fontId="5" fillId="2" borderId="0" xfId="2" applyFont="1" applyFill="1" applyProtection="1"/>
    <xf numFmtId="0" fontId="39" fillId="2" borderId="0" xfId="7" applyFont="1" applyFill="1" applyAlignment="1" applyProtection="1">
      <alignment vertical="top" wrapText="1"/>
    </xf>
    <xf numFmtId="0" fontId="21" fillId="2" borderId="0" xfId="5" applyFont="1" applyFill="1" applyAlignment="1" applyProtection="1">
      <alignment horizontal="center"/>
    </xf>
    <xf numFmtId="0" fontId="21" fillId="2" borderId="0" xfId="5" applyFont="1" applyFill="1" applyProtection="1"/>
    <xf numFmtId="0" fontId="43" fillId="2" borderId="0" xfId="5" applyFont="1" applyFill="1" applyProtection="1"/>
    <xf numFmtId="0" fontId="2" fillId="0" borderId="0" xfId="6" applyAlignment="1" applyProtection="1">
      <alignment horizontal="center"/>
    </xf>
    <xf numFmtId="174" fontId="2" fillId="0" borderId="0" xfId="6" applyNumberFormat="1" applyAlignment="1" applyProtection="1">
      <alignment horizontal="center"/>
    </xf>
    <xf numFmtId="0" fontId="44" fillId="0" borderId="0" xfId="6" applyFont="1" applyProtection="1"/>
    <xf numFmtId="0" fontId="45" fillId="2" borderId="0" xfId="5" applyFont="1" applyFill="1" applyProtection="1"/>
    <xf numFmtId="2" fontId="2" fillId="0" borderId="0" xfId="6" applyNumberFormat="1" applyProtection="1"/>
    <xf numFmtId="0" fontId="21" fillId="2" borderId="0" xfId="5" applyFont="1" applyFill="1" applyAlignment="1" applyProtection="1">
      <alignment horizontal="left"/>
    </xf>
    <xf numFmtId="0" fontId="22" fillId="2" borderId="0" xfId="1" applyFont="1" applyFill="1" applyProtection="1"/>
    <xf numFmtId="168" fontId="5" fillId="2" borderId="0" xfId="1" applyNumberFormat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 vertical="center"/>
    </xf>
    <xf numFmtId="166" fontId="2" fillId="0" borderId="0" xfId="1" applyNumberFormat="1" applyFont="1" applyProtection="1"/>
    <xf numFmtId="0" fontId="21" fillId="2" borderId="0" xfId="5" applyFont="1" applyFill="1" applyBorder="1" applyProtection="1"/>
    <xf numFmtId="0" fontId="21" fillId="2" borderId="0" xfId="5" applyFont="1" applyFill="1" applyBorder="1" applyAlignment="1" applyProtection="1">
      <alignment horizontal="center"/>
    </xf>
    <xf numFmtId="0" fontId="21" fillId="2" borderId="0" xfId="5" applyFont="1" applyFill="1" applyBorder="1" applyAlignment="1" applyProtection="1">
      <alignment horizontal="left"/>
    </xf>
    <xf numFmtId="173" fontId="21" fillId="2" borderId="0" xfId="5" applyNumberFormat="1" applyFont="1" applyFill="1" applyBorder="1" applyAlignment="1" applyProtection="1">
      <alignment horizontal="center"/>
    </xf>
    <xf numFmtId="168" fontId="5" fillId="2" borderId="0" xfId="1" applyNumberFormat="1" applyFont="1" applyFill="1" applyBorder="1" applyAlignment="1" applyProtection="1">
      <alignment horizontal="center"/>
    </xf>
    <xf numFmtId="0" fontId="2" fillId="2" borderId="5" xfId="1" applyFont="1" applyFill="1" applyBorder="1" applyProtection="1"/>
    <xf numFmtId="171" fontId="2" fillId="0" borderId="0" xfId="6" applyNumberFormat="1" applyAlignment="1" applyProtection="1">
      <alignment horizontal="center"/>
    </xf>
    <xf numFmtId="173" fontId="5" fillId="2" borderId="0" xfId="1" applyNumberFormat="1" applyFont="1" applyFill="1" applyBorder="1" applyAlignment="1" applyProtection="1">
      <alignment horizontal="center"/>
    </xf>
    <xf numFmtId="0" fontId="5" fillId="2" borderId="5" xfId="2" applyFont="1" applyFill="1" applyBorder="1" applyProtection="1"/>
    <xf numFmtId="0" fontId="46" fillId="0" borderId="0" xfId="7" applyFont="1" applyAlignment="1" applyProtection="1">
      <alignment wrapText="1"/>
    </xf>
    <xf numFmtId="0" fontId="16" fillId="0" borderId="0" xfId="1" applyFont="1" applyAlignment="1" applyProtection="1">
      <alignment vertical="center"/>
    </xf>
    <xf numFmtId="0" fontId="47" fillId="0" borderId="0" xfId="0" applyFont="1" applyProtection="1"/>
    <xf numFmtId="0" fontId="16" fillId="0" borderId="0" xfId="1" applyFont="1" applyAlignment="1" applyProtection="1">
      <alignment horizontal="center" vertical="center" wrapText="1"/>
    </xf>
    <xf numFmtId="0" fontId="43" fillId="2" borderId="5" xfId="5" applyFont="1" applyFill="1" applyBorder="1" applyProtection="1"/>
    <xf numFmtId="0" fontId="5" fillId="15" borderId="0" xfId="2" applyFont="1" applyFill="1" applyAlignment="1" applyProtection="1">
      <alignment horizontal="center"/>
    </xf>
    <xf numFmtId="0" fontId="5" fillId="0" borderId="0" xfId="2" applyFont="1" applyAlignment="1" applyProtection="1">
      <alignment horizontal="left"/>
    </xf>
    <xf numFmtId="0" fontId="9" fillId="0" borderId="0" xfId="1" applyFont="1" applyAlignment="1" applyProtection="1">
      <alignment vertical="center"/>
    </xf>
    <xf numFmtId="0" fontId="9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/>
    </xf>
    <xf numFmtId="164" fontId="5" fillId="15" borderId="0" xfId="2" applyNumberFormat="1" applyFont="1" applyFill="1" applyAlignment="1" applyProtection="1">
      <alignment horizontal="center"/>
    </xf>
    <xf numFmtId="173" fontId="21" fillId="2" borderId="0" xfId="5" applyNumberFormat="1" applyFont="1" applyFill="1" applyAlignment="1" applyProtection="1">
      <alignment horizontal="center"/>
    </xf>
    <xf numFmtId="173" fontId="5" fillId="2" borderId="0" xfId="1" applyNumberFormat="1" applyFont="1" applyFill="1" applyAlignment="1" applyProtection="1">
      <alignment horizontal="center"/>
    </xf>
    <xf numFmtId="0" fontId="2" fillId="2" borderId="0" xfId="2" applyFill="1" applyBorder="1" applyAlignment="1" applyProtection="1">
      <alignment horizontal="center"/>
    </xf>
    <xf numFmtId="2" fontId="21" fillId="2" borderId="0" xfId="5" applyNumberFormat="1" applyFont="1" applyFill="1" applyAlignment="1" applyProtection="1">
      <alignment horizontal="center"/>
    </xf>
    <xf numFmtId="0" fontId="2" fillId="2" borderId="0" xfId="2" applyFill="1" applyAlignment="1" applyProtection="1">
      <alignment horizontal="center"/>
    </xf>
    <xf numFmtId="0" fontId="22" fillId="2" borderId="0" xfId="1" applyFont="1" applyFill="1" applyAlignment="1" applyProtection="1">
      <alignment horizontal="center"/>
    </xf>
    <xf numFmtId="0" fontId="5" fillId="16" borderId="0" xfId="2" applyFont="1" applyFill="1" applyAlignment="1" applyProtection="1">
      <alignment horizontal="left"/>
    </xf>
    <xf numFmtId="164" fontId="5" fillId="16" borderId="0" xfId="2" applyNumberFormat="1" applyFont="1" applyFill="1" applyAlignment="1" applyProtection="1">
      <alignment horizontal="center"/>
    </xf>
    <xf numFmtId="0" fontId="2" fillId="2" borderId="0" xfId="2" applyFill="1" applyAlignment="1" applyProtection="1">
      <alignment horizontal="left" vertical="center"/>
    </xf>
    <xf numFmtId="2" fontId="2" fillId="2" borderId="0" xfId="1" applyNumberFormat="1" applyFont="1" applyFill="1" applyProtection="1"/>
    <xf numFmtId="0" fontId="2" fillId="16" borderId="0" xfId="1" applyFont="1" applyFill="1" applyProtection="1"/>
    <xf numFmtId="0" fontId="5" fillId="16" borderId="0" xfId="2" applyFont="1" applyFill="1" applyAlignment="1" applyProtection="1">
      <alignment horizontal="center"/>
    </xf>
    <xf numFmtId="0" fontId="2" fillId="2" borderId="4" xfId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7" xfId="1" applyNumberFormat="1" applyFont="1" applyFill="1" applyBorder="1" applyAlignment="1" applyProtection="1">
      <alignment horizontal="center"/>
    </xf>
    <xf numFmtId="0" fontId="5" fillId="16" borderId="0" xfId="1" applyFont="1" applyFill="1" applyAlignment="1" applyProtection="1">
      <alignment horizontal="center"/>
    </xf>
    <xf numFmtId="0" fontId="22" fillId="2" borderId="4" xfId="1" applyFont="1" applyFill="1" applyBorder="1" applyAlignment="1" applyProtection="1">
      <alignment horizontal="center"/>
    </xf>
    <xf numFmtId="0" fontId="22" fillId="2" borderId="7" xfId="1" applyFont="1" applyFill="1" applyBorder="1" applyAlignment="1" applyProtection="1">
      <alignment horizontal="center"/>
    </xf>
    <xf numFmtId="0" fontId="22" fillId="16" borderId="0" xfId="1" applyFont="1" applyFill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164" fontId="48" fillId="0" borderId="0" xfId="1" applyNumberFormat="1" applyFont="1" applyAlignment="1" applyProtection="1">
      <alignment horizontal="center"/>
    </xf>
    <xf numFmtId="0" fontId="2" fillId="16" borderId="0" xfId="1" applyFont="1" applyFill="1" applyAlignment="1" applyProtection="1">
      <alignment horizontal="center"/>
    </xf>
    <xf numFmtId="164" fontId="5" fillId="16" borderId="0" xfId="1" applyNumberFormat="1" applyFont="1" applyFill="1" applyAlignment="1" applyProtection="1">
      <alignment horizontal="center"/>
    </xf>
    <xf numFmtId="0" fontId="5" fillId="2" borderId="21" xfId="2" applyFont="1" applyFill="1" applyBorder="1" applyAlignment="1" applyProtection="1">
      <alignment horizontal="left"/>
    </xf>
    <xf numFmtId="0" fontId="5" fillId="2" borderId="22" xfId="2" applyFont="1" applyFill="1" applyBorder="1" applyAlignment="1" applyProtection="1">
      <alignment horizontal="left"/>
    </xf>
    <xf numFmtId="0" fontId="5" fillId="2" borderId="22" xfId="2" applyFont="1" applyFill="1" applyBorder="1" applyProtection="1"/>
    <xf numFmtId="0" fontId="5" fillId="12" borderId="0" xfId="1" applyFont="1" applyFill="1" applyAlignment="1" applyProtection="1">
      <alignment horizontal="center"/>
    </xf>
    <xf numFmtId="0" fontId="2" fillId="16" borderId="0" xfId="2" applyFill="1" applyAlignment="1" applyProtection="1">
      <alignment horizontal="center"/>
    </xf>
    <xf numFmtId="0" fontId="5" fillId="2" borderId="0" xfId="2" applyFont="1" applyFill="1" applyAlignment="1" applyProtection="1">
      <alignment horizontal="left"/>
    </xf>
    <xf numFmtId="0" fontId="5" fillId="2" borderId="14" xfId="2" applyFont="1" applyFill="1" applyBorder="1" applyAlignment="1" applyProtection="1">
      <alignment horizontal="left"/>
    </xf>
    <xf numFmtId="0" fontId="5" fillId="2" borderId="5" xfId="2" applyFont="1" applyFill="1" applyBorder="1" applyAlignment="1" applyProtection="1">
      <alignment horizontal="left"/>
    </xf>
    <xf numFmtId="0" fontId="5" fillId="2" borderId="5" xfId="1" applyFont="1" applyFill="1" applyBorder="1" applyAlignment="1" applyProtection="1">
      <alignment horizontal="center"/>
    </xf>
    <xf numFmtId="0" fontId="22" fillId="12" borderId="0" xfId="1" applyFont="1" applyFill="1" applyAlignment="1" applyProtection="1">
      <alignment horizontal="center"/>
    </xf>
    <xf numFmtId="0" fontId="5" fillId="2" borderId="8" xfId="2" applyFont="1" applyFill="1" applyBorder="1" applyAlignment="1" applyProtection="1">
      <alignment horizontal="left"/>
    </xf>
    <xf numFmtId="0" fontId="2" fillId="2" borderId="8" xfId="1" applyFont="1" applyFill="1" applyBorder="1" applyAlignment="1" applyProtection="1">
      <alignment horizontal="left"/>
    </xf>
    <xf numFmtId="0" fontId="2" fillId="2" borderId="0" xfId="1" applyFont="1" applyFill="1" applyAlignment="1" applyProtection="1">
      <alignment horizontal="left"/>
    </xf>
    <xf numFmtId="0" fontId="2" fillId="16" borderId="0" xfId="2" applyFill="1" applyProtection="1"/>
    <xf numFmtId="0" fontId="22" fillId="2" borderId="2" xfId="2" applyFont="1" applyFill="1" applyBorder="1" applyAlignment="1" applyProtection="1">
      <alignment horizontal="left"/>
    </xf>
    <xf numFmtId="0" fontId="5" fillId="2" borderId="3" xfId="2" applyFont="1" applyFill="1" applyBorder="1" applyAlignment="1" applyProtection="1">
      <alignment horizontal="left"/>
    </xf>
    <xf numFmtId="0" fontId="5" fillId="12" borderId="0" xfId="1" applyFont="1" applyFill="1" applyProtection="1"/>
    <xf numFmtId="0" fontId="22" fillId="2" borderId="0" xfId="1" applyFont="1" applyFill="1" applyAlignment="1" applyProtection="1">
      <alignment horizontal="left"/>
    </xf>
    <xf numFmtId="0" fontId="5" fillId="2" borderId="6" xfId="1" applyFont="1" applyFill="1" applyBorder="1" applyAlignment="1" applyProtection="1">
      <alignment horizontal="left"/>
    </xf>
    <xf numFmtId="0" fontId="5" fillId="2" borderId="0" xfId="1" applyFont="1" applyFill="1" applyAlignment="1" applyProtection="1">
      <alignment horizontal="left"/>
    </xf>
    <xf numFmtId="166" fontId="5" fillId="0" borderId="0" xfId="2" applyNumberFormat="1" applyFont="1" applyAlignment="1" applyProtection="1">
      <alignment horizontal="center"/>
    </xf>
    <xf numFmtId="1" fontId="2" fillId="16" borderId="0" xfId="1" applyNumberFormat="1" applyFont="1" applyFill="1" applyAlignment="1" applyProtection="1">
      <alignment horizontal="center"/>
    </xf>
    <xf numFmtId="1" fontId="2" fillId="0" borderId="0" xfId="1" applyNumberFormat="1" applyFont="1" applyAlignment="1" applyProtection="1">
      <alignment horizontal="center"/>
    </xf>
    <xf numFmtId="0" fontId="22" fillId="2" borderId="11" xfId="1" applyFont="1" applyFill="1" applyBorder="1" applyAlignment="1" applyProtection="1">
      <alignment horizontal="left"/>
    </xf>
    <xf numFmtId="0" fontId="5" fillId="2" borderId="12" xfId="1" applyFont="1" applyFill="1" applyBorder="1" applyAlignment="1" applyProtection="1">
      <alignment horizontal="left"/>
    </xf>
    <xf numFmtId="166" fontId="2" fillId="16" borderId="0" xfId="1" applyNumberFormat="1" applyFont="1" applyFill="1" applyProtection="1"/>
    <xf numFmtId="0" fontId="2" fillId="16" borderId="0" xfId="1" applyFont="1" applyFill="1" applyAlignment="1" applyProtection="1">
      <alignment horizontal="right"/>
    </xf>
    <xf numFmtId="164" fontId="2" fillId="16" borderId="0" xfId="1" applyNumberFormat="1" applyFont="1" applyFill="1" applyProtection="1"/>
    <xf numFmtId="1" fontId="5" fillId="0" borderId="0" xfId="2" applyNumberFormat="1" applyFont="1" applyAlignment="1" applyProtection="1">
      <alignment horizontal="center"/>
    </xf>
    <xf numFmtId="0" fontId="2" fillId="2" borderId="0" xfId="1" applyFont="1" applyFill="1" applyAlignment="1" applyProtection="1">
      <alignment horizontal="left" vertical="center"/>
    </xf>
    <xf numFmtId="0" fontId="5" fillId="12" borderId="0" xfId="1" applyFont="1" applyFill="1" applyAlignment="1" applyProtection="1">
      <alignment horizontal="left" vertical="center"/>
    </xf>
    <xf numFmtId="0" fontId="45" fillId="2" borderId="0" xfId="5" applyFont="1" applyFill="1" applyAlignment="1" applyProtection="1">
      <alignment horizontal="center"/>
    </xf>
    <xf numFmtId="0" fontId="2" fillId="2" borderId="6" xfId="2" applyFill="1" applyBorder="1" applyProtection="1"/>
    <xf numFmtId="2" fontId="21" fillId="0" borderId="0" xfId="5" applyNumberFormat="1" applyFont="1" applyAlignment="1" applyProtection="1">
      <alignment horizontal="center"/>
    </xf>
    <xf numFmtId="0" fontId="49" fillId="0" borderId="0" xfId="5" applyFont="1" applyProtection="1"/>
    <xf numFmtId="0" fontId="21" fillId="0" borderId="0" xfId="5" applyFont="1" applyAlignment="1" applyProtection="1">
      <alignment horizontal="center"/>
    </xf>
    <xf numFmtId="174" fontId="2" fillId="2" borderId="0" xfId="1" applyNumberFormat="1" applyFont="1" applyFill="1" applyProtection="1"/>
    <xf numFmtId="0" fontId="45" fillId="0" borderId="0" xfId="5" applyFont="1" applyProtection="1"/>
    <xf numFmtId="0" fontId="2" fillId="2" borderId="11" xfId="2" applyFill="1" applyBorder="1" applyProtection="1"/>
    <xf numFmtId="0" fontId="2" fillId="2" borderId="12" xfId="2" applyFill="1" applyBorder="1" applyProtection="1"/>
    <xf numFmtId="0" fontId="37" fillId="5" borderId="19" xfId="2" applyFont="1" applyFill="1" applyBorder="1" applyAlignment="1" applyProtection="1">
      <alignment horizontal="center"/>
    </xf>
    <xf numFmtId="0" fontId="39" fillId="2" borderId="20" xfId="7" applyFont="1" applyFill="1" applyBorder="1" applyAlignment="1" applyProtection="1">
      <alignment horizontal="center" vertical="top" wrapText="1"/>
    </xf>
    <xf numFmtId="0" fontId="39" fillId="2" borderId="0" xfId="7" applyFont="1" applyFill="1" applyBorder="1" applyAlignment="1" applyProtection="1">
      <alignment horizontal="center" vertical="top" wrapText="1"/>
    </xf>
    <xf numFmtId="0" fontId="2" fillId="0" borderId="0" xfId="1" applyFont="1" applyProtection="1"/>
    <xf numFmtId="0" fontId="2" fillId="0" borderId="0" xfId="6" applyAlignment="1" applyProtection="1">
      <alignment horizontal="center"/>
    </xf>
    <xf numFmtId="0" fontId="2" fillId="0" borderId="10" xfId="1" applyFont="1" applyBorder="1" applyProtection="1"/>
    <xf numFmtId="0" fontId="2" fillId="0" borderId="11" xfId="1" applyFont="1" applyBorder="1" applyProtection="1"/>
    <xf numFmtId="0" fontId="29" fillId="2" borderId="11" xfId="1" applyFont="1" applyFill="1" applyBorder="1" applyAlignment="1" applyProtection="1">
      <alignment horizontal="left"/>
    </xf>
    <xf numFmtId="0" fontId="29" fillId="2" borderId="12" xfId="1" applyFont="1" applyFill="1" applyBorder="1" applyAlignment="1" applyProtection="1">
      <alignment horizontal="left"/>
    </xf>
    <xf numFmtId="0" fontId="34" fillId="2" borderId="2" xfId="1" applyFont="1" applyFill="1" applyBorder="1" applyAlignment="1" applyProtection="1">
      <alignment horizontal="left" vertical="top"/>
    </xf>
    <xf numFmtId="0" fontId="35" fillId="2" borderId="2" xfId="1" applyFont="1" applyFill="1" applyBorder="1" applyAlignment="1" applyProtection="1">
      <alignment horizontal="center" vertical="center" wrapText="1"/>
      <protection locked="0"/>
    </xf>
    <xf numFmtId="0" fontId="34" fillId="13" borderId="0" xfId="6" applyFont="1" applyFill="1" applyAlignment="1" applyProtection="1">
      <alignment horizontal="center"/>
    </xf>
    <xf numFmtId="0" fontId="0" fillId="0" borderId="0" xfId="0" applyProtection="1"/>
    <xf numFmtId="0" fontId="33" fillId="2" borderId="0" xfId="1" applyFont="1" applyFill="1" applyBorder="1" applyAlignment="1" applyProtection="1">
      <alignment horizontal="center" vertical="top"/>
      <protection locked="0"/>
    </xf>
    <xf numFmtId="0" fontId="33" fillId="2" borderId="17" xfId="1" applyFont="1" applyFill="1" applyBorder="1" applyAlignment="1" applyProtection="1">
      <alignment horizontal="center" vertical="top"/>
      <protection locked="0"/>
    </xf>
    <xf numFmtId="0" fontId="13" fillId="2" borderId="10" xfId="1" applyFont="1" applyFill="1" applyBorder="1" applyAlignment="1" applyProtection="1">
      <alignment horizontal="center" vertical="center"/>
    </xf>
    <xf numFmtId="0" fontId="13" fillId="2" borderId="11" xfId="1" applyFont="1" applyFill="1" applyBorder="1" applyAlignment="1" applyProtection="1">
      <alignment horizontal="center" vertical="center"/>
    </xf>
    <xf numFmtId="0" fontId="13" fillId="2" borderId="11" xfId="1" applyFont="1" applyFill="1" applyBorder="1" applyAlignment="1" applyProtection="1">
      <alignment horizontal="left" vertical="center"/>
    </xf>
    <xf numFmtId="0" fontId="13" fillId="2" borderId="12" xfId="1" applyFont="1" applyFill="1" applyBorder="1" applyAlignment="1" applyProtection="1">
      <alignment horizontal="left" vertical="center"/>
    </xf>
    <xf numFmtId="0" fontId="2" fillId="2" borderId="0" xfId="1" applyFont="1" applyFill="1" applyBorder="1" applyAlignment="1" applyProtection="1">
      <alignment horizontal="left"/>
    </xf>
    <xf numFmtId="167" fontId="2" fillId="2" borderId="0" xfId="1" applyNumberFormat="1" applyFont="1" applyFill="1" applyBorder="1" applyAlignment="1" applyProtection="1">
      <alignment horizontal="right" vertical="center"/>
      <protection locked="0"/>
    </xf>
    <xf numFmtId="167" fontId="2" fillId="2" borderId="0" xfId="1" applyNumberFormat="1" applyFont="1" applyFill="1" applyBorder="1" applyAlignment="1" applyProtection="1">
      <alignment horizontal="left" vertical="center"/>
      <protection locked="0"/>
    </xf>
    <xf numFmtId="0" fontId="4" fillId="0" borderId="5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center"/>
    </xf>
    <xf numFmtId="0" fontId="2" fillId="11" borderId="10" xfId="1" applyFont="1" applyFill="1" applyBorder="1" applyAlignment="1" applyProtection="1">
      <alignment horizontal="center"/>
    </xf>
    <xf numFmtId="0" fontId="2" fillId="11" borderId="11" xfId="1" applyFont="1" applyFill="1" applyBorder="1" applyAlignment="1" applyProtection="1">
      <alignment horizontal="center"/>
    </xf>
    <xf numFmtId="0" fontId="2" fillId="11" borderId="12" xfId="1" applyFont="1" applyFill="1" applyBorder="1" applyAlignment="1" applyProtection="1">
      <alignment horizontal="center"/>
    </xf>
    <xf numFmtId="0" fontId="13" fillId="2" borderId="5" xfId="1" applyFont="1" applyFill="1" applyBorder="1" applyAlignment="1" applyProtection="1">
      <alignment horizontal="center" vertical="center"/>
    </xf>
    <xf numFmtId="0" fontId="13" fillId="2" borderId="0" xfId="1" applyFont="1" applyFill="1" applyBorder="1" applyAlignment="1" applyProtection="1">
      <alignment horizontal="center" vertical="center"/>
    </xf>
    <xf numFmtId="1" fontId="13" fillId="2" borderId="0" xfId="1" applyNumberFormat="1" applyFont="1" applyFill="1" applyBorder="1" applyAlignment="1" applyProtection="1">
      <alignment horizontal="center" vertical="center"/>
    </xf>
    <xf numFmtId="1" fontId="13" fillId="2" borderId="6" xfId="1" applyNumberFormat="1" applyFont="1" applyFill="1" applyBorder="1" applyAlignment="1" applyProtection="1">
      <alignment horizontal="center" vertical="center"/>
    </xf>
    <xf numFmtId="0" fontId="12" fillId="2" borderId="7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center" vertical="center"/>
    </xf>
    <xf numFmtId="164" fontId="13" fillId="2" borderId="8" xfId="1" applyNumberFormat="1" applyFont="1" applyFill="1" applyBorder="1" applyAlignment="1" applyProtection="1">
      <alignment horizontal="right" vertical="center"/>
    </xf>
    <xf numFmtId="0" fontId="31" fillId="2" borderId="8" xfId="1" applyFont="1" applyFill="1" applyBorder="1" applyAlignment="1" applyProtection="1">
      <alignment horizontal="left" vertical="center"/>
    </xf>
    <xf numFmtId="0" fontId="5" fillId="0" borderId="0" xfId="1" applyFont="1" applyAlignment="1" applyProtection="1">
      <alignment horizontal="center" vertical="center" textRotation="90"/>
    </xf>
    <xf numFmtId="0" fontId="12" fillId="2" borderId="1" xfId="1" applyFont="1" applyFill="1" applyBorder="1" applyAlignment="1" applyProtection="1">
      <alignment horizontal="left" vertical="center"/>
    </xf>
    <xf numFmtId="0" fontId="12" fillId="2" borderId="2" xfId="1" applyFont="1" applyFill="1" applyBorder="1" applyAlignment="1" applyProtection="1">
      <alignment horizontal="left" vertical="center"/>
    </xf>
    <xf numFmtId="0" fontId="12" fillId="2" borderId="10" xfId="1" applyFont="1" applyFill="1" applyBorder="1" applyAlignment="1" applyProtection="1">
      <alignment horizontal="left" vertical="center"/>
    </xf>
    <xf numFmtId="0" fontId="12" fillId="2" borderId="11" xfId="1" applyFont="1" applyFill="1" applyBorder="1" applyAlignment="1" applyProtection="1">
      <alignment horizontal="left" vertical="center"/>
    </xf>
    <xf numFmtId="0" fontId="13" fillId="0" borderId="11" xfId="1" applyFont="1" applyBorder="1" applyAlignment="1" applyProtection="1">
      <alignment horizontal="center" vertical="center"/>
    </xf>
    <xf numFmtId="164" fontId="4" fillId="0" borderId="1" xfId="1" applyNumberFormat="1" applyFont="1" applyBorder="1" applyAlignment="1" applyProtection="1">
      <alignment horizontal="center"/>
    </xf>
    <xf numFmtId="164" fontId="4" fillId="0" borderId="2" xfId="1" applyNumberFormat="1" applyFont="1" applyBorder="1" applyAlignment="1" applyProtection="1">
      <alignment horizontal="center"/>
    </xf>
    <xf numFmtId="164" fontId="4" fillId="0" borderId="3" xfId="1" applyNumberFormat="1" applyFont="1" applyBorder="1" applyAlignment="1" applyProtection="1">
      <alignment horizontal="center"/>
    </xf>
    <xf numFmtId="0" fontId="2" fillId="11" borderId="5" xfId="1" applyFont="1" applyFill="1" applyBorder="1" applyAlignment="1" applyProtection="1">
      <alignment horizontal="center"/>
    </xf>
    <xf numFmtId="0" fontId="2" fillId="11" borderId="0" xfId="1" applyFont="1" applyFill="1" applyBorder="1" applyAlignment="1" applyProtection="1">
      <alignment horizontal="center"/>
    </xf>
    <xf numFmtId="0" fontId="2" fillId="11" borderId="6" xfId="1" applyFont="1" applyFill="1" applyBorder="1" applyAlignment="1" applyProtection="1">
      <alignment horizontal="center"/>
    </xf>
    <xf numFmtId="0" fontId="12" fillId="3" borderId="1" xfId="1" applyFont="1" applyFill="1" applyBorder="1" applyAlignment="1" applyProtection="1">
      <alignment horizontal="center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0" fontId="12" fillId="3" borderId="3" xfId="1" applyFont="1" applyFill="1" applyBorder="1" applyAlignment="1" applyProtection="1">
      <alignment horizontal="center" vertical="center" wrapText="1"/>
    </xf>
    <xf numFmtId="0" fontId="12" fillId="3" borderId="5" xfId="1" applyFont="1" applyFill="1" applyBorder="1" applyAlignment="1" applyProtection="1">
      <alignment horizontal="center" vertical="center" wrapText="1"/>
    </xf>
    <xf numFmtId="0" fontId="12" fillId="3" borderId="0" xfId="1" applyFont="1" applyFill="1" applyBorder="1" applyAlignment="1" applyProtection="1">
      <alignment horizontal="center" vertical="center" wrapText="1"/>
    </xf>
    <xf numFmtId="0" fontId="12" fillId="3" borderId="6" xfId="1" applyFont="1" applyFill="1" applyBorder="1" applyAlignment="1" applyProtection="1">
      <alignment horizontal="center" vertical="center" wrapText="1"/>
    </xf>
    <xf numFmtId="0" fontId="12" fillId="3" borderId="0" xfId="1" applyFont="1" applyFill="1" applyBorder="1" applyAlignment="1" applyProtection="1">
      <alignment horizontal="center" vertical="center"/>
    </xf>
    <xf numFmtId="0" fontId="12" fillId="3" borderId="6" xfId="1" applyFont="1" applyFill="1" applyBorder="1" applyAlignment="1" applyProtection="1">
      <alignment horizontal="center" vertical="center"/>
    </xf>
    <xf numFmtId="0" fontId="12" fillId="3" borderId="5" xfId="1" applyFont="1" applyFill="1" applyBorder="1" applyAlignment="1" applyProtection="1">
      <alignment horizontal="center" vertical="center"/>
    </xf>
    <xf numFmtId="0" fontId="2" fillId="0" borderId="0" xfId="6" applyAlignment="1" applyProtection="1">
      <alignment horizontal="right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/>
    </xf>
    <xf numFmtId="1" fontId="5" fillId="0" borderId="10" xfId="1" applyNumberFormat="1" applyFont="1" applyBorder="1" applyAlignment="1" applyProtection="1">
      <alignment horizontal="center"/>
    </xf>
    <xf numFmtId="1" fontId="5" fillId="0" borderId="11" xfId="1" applyNumberFormat="1" applyFont="1" applyBorder="1" applyAlignment="1" applyProtection="1">
      <alignment horizontal="center"/>
    </xf>
    <xf numFmtId="1" fontId="5" fillId="0" borderId="12" xfId="1" applyNumberFormat="1" applyFont="1" applyBorder="1" applyAlignment="1" applyProtection="1">
      <alignment horizontal="center"/>
    </xf>
    <xf numFmtId="0" fontId="30" fillId="0" borderId="0" xfId="6" applyFont="1" applyAlignment="1" applyProtection="1">
      <alignment horizontal="center"/>
    </xf>
    <xf numFmtId="2" fontId="5" fillId="0" borderId="10" xfId="1" applyNumberFormat="1" applyFont="1" applyBorder="1" applyAlignment="1" applyProtection="1">
      <alignment horizontal="center"/>
    </xf>
    <xf numFmtId="2" fontId="5" fillId="0" borderId="12" xfId="1" applyNumberFormat="1" applyFont="1" applyBorder="1" applyAlignment="1" applyProtection="1">
      <alignment horizontal="center"/>
    </xf>
    <xf numFmtId="2" fontId="5" fillId="0" borderId="11" xfId="1" applyNumberFormat="1" applyFont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/>
    </xf>
    <xf numFmtId="49" fontId="9" fillId="0" borderId="5" xfId="1" applyNumberFormat="1" applyFont="1" applyBorder="1" applyAlignment="1" applyProtection="1">
      <alignment horizontal="center"/>
    </xf>
    <xf numFmtId="49" fontId="9" fillId="0" borderId="6" xfId="1" applyNumberFormat="1" applyFont="1" applyBorder="1" applyAlignment="1" applyProtection="1">
      <alignment horizontal="center"/>
    </xf>
    <xf numFmtId="0" fontId="19" fillId="2" borderId="10" xfId="1" applyFont="1" applyFill="1" applyBorder="1" applyAlignment="1" applyProtection="1"/>
    <xf numFmtId="0" fontId="19" fillId="2" borderId="11" xfId="1" applyFont="1" applyFill="1" applyBorder="1" applyAlignment="1" applyProtection="1"/>
    <xf numFmtId="0" fontId="9" fillId="3" borderId="5" xfId="1" applyFont="1" applyFill="1" applyBorder="1" applyAlignment="1" applyProtection="1">
      <alignment horizontal="center" vertical="center" wrapText="1"/>
    </xf>
    <xf numFmtId="0" fontId="9" fillId="3" borderId="6" xfId="1" applyFont="1" applyFill="1" applyBorder="1" applyAlignment="1" applyProtection="1">
      <alignment horizontal="center" vertical="center"/>
    </xf>
    <xf numFmtId="0" fontId="9" fillId="3" borderId="10" xfId="1" applyFont="1" applyFill="1" applyBorder="1" applyAlignment="1" applyProtection="1">
      <alignment horizontal="center" vertical="center" wrapText="1"/>
    </xf>
    <xf numFmtId="0" fontId="9" fillId="3" borderId="5" xfId="1" applyFont="1" applyFill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9" fillId="0" borderId="0" xfId="1" applyFont="1" applyBorder="1" applyAlignment="1" applyProtection="1">
      <alignment horizontal="center"/>
    </xf>
    <xf numFmtId="0" fontId="9" fillId="0" borderId="10" xfId="1" applyFont="1" applyBorder="1" applyAlignment="1" applyProtection="1">
      <alignment horizontal="center"/>
    </xf>
    <xf numFmtId="0" fontId="9" fillId="0" borderId="11" xfId="1" applyFont="1" applyBorder="1" applyAlignment="1" applyProtection="1">
      <alignment horizontal="center"/>
    </xf>
    <xf numFmtId="0" fontId="4" fillId="3" borderId="2" xfId="1" applyFont="1" applyFill="1" applyBorder="1" applyAlignment="1" applyProtection="1">
      <alignment horizontal="center" vertical="center"/>
    </xf>
    <xf numFmtId="2" fontId="14" fillId="2" borderId="0" xfId="1" applyNumberFormat="1" applyFont="1" applyFill="1" applyBorder="1" applyAlignment="1" applyProtection="1">
      <alignment vertical="center"/>
    </xf>
    <xf numFmtId="0" fontId="14" fillId="2" borderId="6" xfId="1" applyFont="1" applyFill="1" applyBorder="1" applyAlignment="1" applyProtection="1">
      <alignment vertical="center"/>
    </xf>
    <xf numFmtId="164" fontId="13" fillId="2" borderId="0" xfId="1" applyNumberFormat="1" applyFont="1" applyFill="1" applyBorder="1" applyAlignment="1" applyProtection="1">
      <alignment horizontal="center"/>
    </xf>
    <xf numFmtId="0" fontId="9" fillId="0" borderId="1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horizontal="center" wrapText="1"/>
    </xf>
    <xf numFmtId="2" fontId="14" fillId="2" borderId="11" xfId="1" applyNumberFormat="1" applyFont="1" applyFill="1" applyBorder="1" applyAlignment="1" applyProtection="1">
      <alignment vertical="center"/>
    </xf>
    <xf numFmtId="0" fontId="14" fillId="2" borderId="12" xfId="1" applyFont="1" applyFill="1" applyBorder="1" applyAlignment="1" applyProtection="1">
      <alignment vertical="center"/>
    </xf>
    <xf numFmtId="0" fontId="19" fillId="2" borderId="1" xfId="1" applyFont="1" applyFill="1" applyBorder="1" applyAlignment="1" applyProtection="1"/>
    <xf numFmtId="0" fontId="19" fillId="2" borderId="2" xfId="1" applyFont="1" applyFill="1" applyBorder="1" applyAlignment="1" applyProtection="1"/>
    <xf numFmtId="0" fontId="18" fillId="2" borderId="0" xfId="3" applyFont="1" applyFill="1" applyBorder="1" applyAlignment="1" applyProtection="1">
      <alignment horizontal="right" vertical="center" wrapText="1"/>
    </xf>
    <xf numFmtId="1" fontId="14" fillId="2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Border="1" applyAlignment="1" applyProtection="1">
      <alignment horizontal="center" wrapText="1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13" fillId="2" borderId="5" xfId="1" applyFont="1" applyFill="1" applyBorder="1" applyAlignment="1" applyProtection="1">
      <alignment vertical="center" wrapText="1"/>
    </xf>
    <xf numFmtId="0" fontId="13" fillId="2" borderId="0" xfId="1" applyFont="1" applyFill="1" applyBorder="1" applyAlignment="1" applyProtection="1">
      <alignment vertical="center" wrapText="1"/>
    </xf>
    <xf numFmtId="2" fontId="14" fillId="2" borderId="0" xfId="1" applyNumberFormat="1" applyFont="1" applyFill="1" applyBorder="1" applyAlignment="1" applyProtection="1">
      <alignment horizontal="right" vertical="center" wrapText="1"/>
    </xf>
    <xf numFmtId="2" fontId="14" fillId="2" borderId="6" xfId="1" applyNumberFormat="1" applyFont="1" applyFill="1" applyBorder="1" applyAlignment="1" applyProtection="1">
      <alignment horizontal="right" vertical="center" wrapText="1"/>
    </xf>
    <xf numFmtId="0" fontId="9" fillId="0" borderId="1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168" fontId="2" fillId="0" borderId="0" xfId="1" applyNumberFormat="1" applyFont="1" applyBorder="1" applyAlignment="1" applyProtection="1">
      <alignment horizontal="center"/>
    </xf>
    <xf numFmtId="0" fontId="16" fillId="2" borderId="1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0" borderId="13" xfId="1" applyFont="1" applyBorder="1" applyAlignment="1" applyProtection="1">
      <alignment horizontal="center" vertical="center"/>
    </xf>
    <xf numFmtId="0" fontId="16" fillId="0" borderId="14" xfId="1" applyFont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horizontal="right"/>
    </xf>
    <xf numFmtId="0" fontId="17" fillId="2" borderId="0" xfId="3" applyFont="1" applyFill="1" applyBorder="1" applyAlignment="1" applyProtection="1">
      <alignment horizontal="right" vertical="center"/>
    </xf>
    <xf numFmtId="0" fontId="2" fillId="0" borderId="11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/>
    </xf>
    <xf numFmtId="0" fontId="9" fillId="0" borderId="3" xfId="1" applyFont="1" applyBorder="1" applyAlignment="1" applyProtection="1">
      <alignment horizontal="center"/>
    </xf>
    <xf numFmtId="0" fontId="12" fillId="3" borderId="2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0" xfId="1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left" vertical="center"/>
    </xf>
    <xf numFmtId="0" fontId="7" fillId="2" borderId="0" xfId="2" applyFont="1" applyFill="1" applyBorder="1" applyAlignment="1" applyProtection="1">
      <alignment horizontal="left" vertical="center"/>
    </xf>
    <xf numFmtId="1" fontId="14" fillId="2" borderId="2" xfId="1" applyNumberFormat="1" applyFont="1" applyFill="1" applyBorder="1" applyAlignment="1" applyProtection="1">
      <alignment vertical="center"/>
    </xf>
    <xf numFmtId="0" fontId="14" fillId="2" borderId="3" xfId="1" applyFont="1" applyFill="1" applyBorder="1" applyAlignment="1" applyProtection="1">
      <alignment vertical="center"/>
    </xf>
    <xf numFmtId="0" fontId="2" fillId="0" borderId="2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center"/>
    </xf>
    <xf numFmtId="0" fontId="3" fillId="0" borderId="4" xfId="2" applyFont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 wrapText="1"/>
    </xf>
    <xf numFmtId="0" fontId="7" fillId="2" borderId="7" xfId="2" applyFont="1" applyFill="1" applyBorder="1" applyAlignment="1" applyProtection="1">
      <alignment horizontal="left" vertical="center"/>
    </xf>
    <xf numFmtId="0" fontId="7" fillId="2" borderId="8" xfId="2" applyFont="1" applyFill="1" applyBorder="1" applyAlignment="1" applyProtection="1">
      <alignment horizontal="left" vertical="center"/>
    </xf>
    <xf numFmtId="0" fontId="7" fillId="2" borderId="9" xfId="2" applyFont="1" applyFill="1" applyBorder="1" applyAlignment="1" applyProtection="1">
      <alignment horizontal="left" vertical="center"/>
    </xf>
  </cellXfs>
  <cellStyles count="9">
    <cellStyle name="Hipervínculo 2 4" xfId="8"/>
    <cellStyle name="Normal" xfId="0" builtinId="0"/>
    <cellStyle name="Normal 10 2" xfId="6"/>
    <cellStyle name="Normal 2 3 3" xfId="2"/>
    <cellStyle name="Normal 2 4" xfId="3"/>
    <cellStyle name="Normal 3 2" xfId="4"/>
    <cellStyle name="Normal 5 6" xfId="7"/>
    <cellStyle name="Normal_EXTRACCION" xfId="5"/>
    <cellStyle name="Normal_Grad. Lim. Auto 1-4" xfId="1"/>
  </cellStyles>
  <dxfs count="2">
    <dxf>
      <font>
        <color rgb="FF9C0006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00"/>
              <a:t>Granulometría</a:t>
            </a:r>
          </a:p>
        </c:rich>
      </c:tx>
      <c:layout>
        <c:manualLayout>
          <c:xMode val="edge"/>
          <c:yMode val="edge"/>
          <c:x val="0.37161470803610364"/>
          <c:y val="2.02019893144424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69127605130864"/>
          <c:y val="8.5598981945438635E-2"/>
          <c:w val="0.8246808020470795"/>
          <c:h val="0.77549868320197979"/>
        </c:manualLayout>
      </c:layout>
      <c:scatterChart>
        <c:scatterStyle val="smoothMarker"/>
        <c:varyColors val="0"/>
        <c:ser>
          <c:idx val="2"/>
          <c:order val="0"/>
          <c:spPr>
            <a:ln w="15875"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3"/>
            <c:spPr>
              <a:solidFill>
                <a:srgbClr val="000000"/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'6. Clasificación M1'!$C$17:$C$25</c:f>
              <c:numCache>
                <c:formatCode>0.0</c:formatCode>
                <c:ptCount val="9"/>
                <c:pt idx="0">
                  <c:v>50</c:v>
                </c:pt>
                <c:pt idx="1">
                  <c:v>37.5</c:v>
                </c:pt>
                <c:pt idx="2">
                  <c:v>25</c:v>
                </c:pt>
                <c:pt idx="3">
                  <c:v>19.049999999999997</c:v>
                </c:pt>
                <c:pt idx="4">
                  <c:v>9.5</c:v>
                </c:pt>
                <c:pt idx="5" formatCode="0.00">
                  <c:v>4.75</c:v>
                </c:pt>
                <c:pt idx="6" formatCode="0.00">
                  <c:v>2</c:v>
                </c:pt>
                <c:pt idx="7" formatCode="0.00">
                  <c:v>0.42499999999999999</c:v>
                </c:pt>
                <c:pt idx="8" formatCode="0.000">
                  <c:v>7.4999999999999997E-2</c:v>
                </c:pt>
              </c:numCache>
            </c:numRef>
          </c:xVal>
          <c:yVal>
            <c:numRef>
              <c:f>'6. Clasificación M1'!$F$17:$F$25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80-446A-B4EB-107A0D1EF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61523216"/>
        <c:axId val="-1561517232"/>
      </c:scatterChart>
      <c:valAx>
        <c:axId val="-1561523216"/>
        <c:scaling>
          <c:logBase val="10"/>
          <c:orientation val="maxMin"/>
          <c:max val="100"/>
          <c:min val="1.0000000000000005E-2"/>
        </c:scaling>
        <c:delete val="0"/>
        <c:axPos val="b"/>
        <c:majorGridlines/>
        <c:minorGridlines>
          <c:spPr>
            <a:ln w="3175"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 sz="800"/>
                  <a:t>Diámetro de las partículas (mm)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561517232"/>
        <c:crosses val="autoZero"/>
        <c:crossBetween val="midCat"/>
        <c:majorUnit val="10"/>
        <c:minorUnit val="10"/>
      </c:valAx>
      <c:valAx>
        <c:axId val="-1561517232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 sz="800"/>
                  <a:t>% Pasa</a:t>
                </a:r>
              </a:p>
            </c:rich>
          </c:tx>
          <c:layout>
            <c:manualLayout>
              <c:xMode val="edge"/>
              <c:yMode val="edge"/>
              <c:x val="8.4175084175084174E-3"/>
              <c:y val="0.4034843056062134"/>
            </c:manualLayout>
          </c:layout>
          <c:overlay val="0"/>
        </c:title>
        <c:numFmt formatCode="0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561523216"/>
        <c:crossesAt val="100"/>
        <c:crossBetween val="midCat"/>
        <c:majorUnit val="2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901" r="0.74803149606299901" t="0.98425196850393659" header="0" footer="0"/>
    <c:pageSetup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28576</xdr:colOff>
      <xdr:row>0</xdr:row>
      <xdr:rowOff>133349</xdr:rowOff>
    </xdr:from>
    <xdr:ext cx="719998" cy="720000"/>
    <xdr:pic>
      <xdr:nvPicPr>
        <xdr:cNvPr id="2" name="Imagen 18">
          <a:extLst>
            <a:ext uri="{FF2B5EF4-FFF2-40B4-BE49-F238E27FC236}">
              <a16:creationId xmlns:a16="http://schemas.microsoft.com/office/drawing/2014/main" id="{68A09B6E-F4EF-4661-93EA-13B128C31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33349"/>
          <a:ext cx="719998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9526</xdr:colOff>
      <xdr:row>12</xdr:row>
      <xdr:rowOff>9526</xdr:rowOff>
    </xdr:from>
    <xdr:to>
      <xdr:col>15</xdr:col>
      <xdr:colOff>1</xdr:colOff>
      <xdr:row>26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42A863-8162-4619-9FD5-F01B74B69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%20sep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Encabezado"/>
      <sheetName val="2. Perfil estratigrafico"/>
      <sheetName val="3. Reg fotografico"/>
      <sheetName val="4. W M1 "/>
      <sheetName val="4. W M1 x"/>
      <sheetName val="5. Limites M1"/>
      <sheetName val="5. Limites M1 X"/>
      <sheetName val="6. Clasificación M1"/>
      <sheetName val="7. E.A. M1"/>
      <sheetName val="7. E.A. NA"/>
      <sheetName val="8. PDC M2"/>
      <sheetName val="9. W M2"/>
      <sheetName val="9. W M2 x"/>
      <sheetName val="10. Limites M2"/>
      <sheetName val="10. Limites M2 X"/>
      <sheetName val="11. Clasificación M2"/>
      <sheetName val="12. M.O. M2 "/>
      <sheetName val="12. M.O. M2 X"/>
      <sheetName val="13. W M3"/>
      <sheetName val="14. Limites M3"/>
      <sheetName val="13. W M3 x"/>
      <sheetName val="14. Limites M3 X"/>
      <sheetName val="15. Clasificación M3"/>
      <sheetName val="16. M.O. M3"/>
      <sheetName val="16. M.O. M3 X"/>
    </sheetNames>
    <sheetDataSet>
      <sheetData sheetId="0"/>
      <sheetData sheetId="1">
        <row r="7">
          <cell r="T7"/>
        </row>
        <row r="10">
          <cell r="AB10" t="str">
            <v/>
          </cell>
        </row>
      </sheetData>
      <sheetData sheetId="2">
        <row r="6">
          <cell r="N6" t="str">
            <v/>
          </cell>
        </row>
      </sheetData>
      <sheetData sheetId="3"/>
      <sheetData sheetId="4"/>
      <sheetData sheetId="5"/>
      <sheetData sheetId="6">
        <row r="16">
          <cell r="P16"/>
        </row>
        <row r="17">
          <cell r="P17"/>
        </row>
        <row r="18">
          <cell r="P18"/>
        </row>
        <row r="21">
          <cell r="N21" t="str">
            <v/>
          </cell>
        </row>
        <row r="22">
          <cell r="N22" t="str">
            <v/>
          </cell>
        </row>
        <row r="23">
          <cell r="N23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7">
          <cell r="B37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/>
      <sheetData sheetId="1"/>
      <sheetData sheetId="2">
        <row r="56">
          <cell r="A56" t="str">
            <v>--</v>
          </cell>
        </row>
      </sheetData>
      <sheetData sheetId="3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 refreshError="1"/>
      <sheetData sheetId="15" refreshError="1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 refreshError="1"/>
      <sheetData sheetId="17" refreshError="1"/>
      <sheetData sheetId="18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5">
          <cell r="A25" t="str">
            <v>Reviso</v>
          </cell>
          <cell r="C25">
            <v>0</v>
          </cell>
        </row>
        <row r="26">
          <cell r="A26" t="str">
            <v>ARIAS JENNIFER</v>
          </cell>
          <cell r="B26" t="str">
            <v>Analista  técnico</v>
          </cell>
          <cell r="C26">
            <v>0</v>
          </cell>
        </row>
        <row r="27">
          <cell r="A27" t="str">
            <v xml:space="preserve">VARGAS PABLO </v>
          </cell>
          <cell r="B27" t="str">
            <v>Coordinador técnico</v>
          </cell>
          <cell r="C27">
            <v>0</v>
          </cell>
        </row>
        <row r="28">
          <cell r="A28" t="str">
            <v>--</v>
          </cell>
          <cell r="B28">
            <v>0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 refreshError="1">
        <row r="57">
          <cell r="C57" t="str">
            <v>--</v>
          </cell>
          <cell r="G57" t="str">
            <v>--</v>
          </cell>
          <cell r="L57" t="str">
            <v>--</v>
          </cell>
        </row>
      </sheetData>
      <sheetData sheetId="4" refreshError="1"/>
      <sheetData sheetId="5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 xml:space="preserve">MOLINA JOSE 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>
        <row r="52">
          <cell r="O52" t="str">
            <v/>
          </cell>
        </row>
        <row r="57">
          <cell r="A57" t="str">
            <v>--</v>
          </cell>
          <cell r="I57" t="str">
            <v>--</v>
          </cell>
        </row>
      </sheetData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CB162"/>
  <sheetViews>
    <sheetView showGridLines="0" tabSelected="1" view="pageBreakPreview" zoomScaleSheetLayoutView="100" workbookViewId="0">
      <selection activeCell="D5" sqref="D5:P5"/>
    </sheetView>
  </sheetViews>
  <sheetFormatPr baseColWidth="10" defaultColWidth="8" defaultRowHeight="12.75"/>
  <cols>
    <col min="1" max="1" width="3.5703125" style="3" customWidth="1"/>
    <col min="2" max="3" width="7.7109375" style="3" customWidth="1"/>
    <col min="4" max="4" width="9.28515625" style="20" customWidth="1"/>
    <col min="5" max="5" width="8" style="20" customWidth="1"/>
    <col min="6" max="6" width="6" style="3" customWidth="1"/>
    <col min="7" max="7" width="1" style="3" customWidth="1"/>
    <col min="8" max="15" width="5.7109375" style="3" customWidth="1"/>
    <col min="16" max="16" width="3.5703125" style="3" customWidth="1"/>
    <col min="17" max="17" width="13" style="3" hidden="1" customWidth="1"/>
    <col min="18" max="18" width="12.5703125" style="3" hidden="1" customWidth="1"/>
    <col min="19" max="19" width="5.7109375" style="3" hidden="1" customWidth="1"/>
    <col min="20" max="20" width="6.85546875" style="3" hidden="1" customWidth="1"/>
    <col min="21" max="21" width="8.28515625" style="3" hidden="1" customWidth="1"/>
    <col min="22" max="22" width="8.5703125" style="3" hidden="1" customWidth="1"/>
    <col min="23" max="23" width="17.42578125" style="3" hidden="1" customWidth="1"/>
    <col min="24" max="24" width="9.7109375" style="3" hidden="1" customWidth="1"/>
    <col min="25" max="25" width="34.140625" style="3" hidden="1" customWidth="1"/>
    <col min="26" max="26" width="18.7109375" style="3" hidden="1" customWidth="1"/>
    <col min="27" max="27" width="23.7109375" style="3" hidden="1" customWidth="1"/>
    <col min="28" max="28" width="40.5703125" style="3" hidden="1" customWidth="1"/>
    <col min="29" max="29" width="45" style="3" hidden="1" customWidth="1"/>
    <col min="30" max="30" width="25" style="4" hidden="1" customWidth="1"/>
    <col min="31" max="31" width="19" style="3" hidden="1" customWidth="1"/>
    <col min="32" max="32" width="17.7109375" style="3" hidden="1" customWidth="1"/>
    <col min="33" max="33" width="14.5703125" style="3" hidden="1" customWidth="1"/>
    <col min="34" max="34" width="12.140625" style="3" hidden="1" customWidth="1"/>
    <col min="35" max="35" width="8.140625" style="3" hidden="1" customWidth="1"/>
    <col min="36" max="36" width="12.140625" style="3" hidden="1" customWidth="1"/>
    <col min="37" max="37" width="8.140625" style="3" hidden="1" customWidth="1"/>
    <col min="38" max="38" width="12.140625" style="3" hidden="1" customWidth="1"/>
    <col min="39" max="39" width="8.140625" style="3" hidden="1" customWidth="1"/>
    <col min="40" max="42" width="13.7109375" style="3" hidden="1" customWidth="1"/>
    <col min="43" max="43" width="25.5703125" style="3" hidden="1" customWidth="1"/>
    <col min="44" max="44" width="8" style="3" hidden="1" customWidth="1"/>
    <col min="45" max="45" width="9.28515625" style="3" hidden="1" customWidth="1"/>
    <col min="46" max="47" width="9.85546875" style="3" hidden="1" customWidth="1"/>
    <col min="48" max="48" width="10.5703125" style="3" hidden="1" customWidth="1"/>
    <col min="49" max="50" width="8" style="3" customWidth="1"/>
    <col min="51" max="51" width="9.140625" style="3" bestFit="1" customWidth="1"/>
    <col min="52" max="52" width="8" style="3"/>
    <col min="53" max="53" width="9.28515625" style="3" customWidth="1"/>
    <col min="54" max="54" width="9.28515625" style="3" bestFit="1" customWidth="1"/>
    <col min="55" max="56" width="8" style="3"/>
    <col min="57" max="57" width="11.7109375" style="3" bestFit="1" customWidth="1"/>
    <col min="58" max="58" width="8.140625" style="3" bestFit="1" customWidth="1"/>
    <col min="59" max="61" width="8" style="3"/>
    <col min="62" max="79" width="0" style="3" hidden="1" customWidth="1"/>
    <col min="80" max="16384" width="8" style="3"/>
  </cols>
  <sheetData>
    <row r="1" spans="1:67" ht="15" customHeight="1">
      <c r="A1" s="553"/>
      <c r="B1" s="552"/>
      <c r="C1" s="554"/>
      <c r="D1" s="561" t="s">
        <v>0</v>
      </c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1"/>
      <c r="R1" s="562"/>
      <c r="S1" s="562"/>
      <c r="T1" s="562"/>
      <c r="U1" s="562"/>
      <c r="V1" s="2"/>
      <c r="AT1" s="5"/>
      <c r="AU1" s="5"/>
      <c r="AV1" s="5"/>
      <c r="AW1" s="5"/>
    </row>
    <row r="2" spans="1:67" ht="15" customHeight="1">
      <c r="A2" s="555"/>
      <c r="B2" s="556"/>
      <c r="C2" s="557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1"/>
      <c r="R2" s="562"/>
      <c r="S2" s="562"/>
      <c r="T2" s="562"/>
      <c r="U2" s="562"/>
      <c r="V2" s="6"/>
      <c r="W2" s="7"/>
      <c r="X2" s="8"/>
      <c r="Y2" s="8"/>
      <c r="Z2" s="8"/>
      <c r="AA2" s="8"/>
      <c r="AB2" s="8"/>
      <c r="AC2" s="8"/>
      <c r="AD2" s="9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67" ht="15" customHeight="1">
      <c r="A3" s="555"/>
      <c r="B3" s="556"/>
      <c r="C3" s="557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1"/>
      <c r="R3" s="562"/>
      <c r="S3" s="562"/>
      <c r="T3" s="562"/>
      <c r="U3" s="562"/>
      <c r="V3" s="2"/>
      <c r="W3" s="7"/>
      <c r="X3" s="8"/>
      <c r="Y3" s="10"/>
      <c r="Z3" s="10"/>
      <c r="AA3" s="10"/>
      <c r="AB3" s="10"/>
      <c r="AC3" s="11"/>
      <c r="AD3" s="12"/>
      <c r="AE3" s="8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4"/>
      <c r="AR3" s="13"/>
      <c r="AS3" s="13"/>
    </row>
    <row r="4" spans="1:67" ht="15" customHeight="1">
      <c r="A4" s="555"/>
      <c r="B4" s="556"/>
      <c r="C4" s="557"/>
      <c r="D4" s="548" t="s">
        <v>1</v>
      </c>
      <c r="E4" s="548"/>
      <c r="F4" s="548"/>
      <c r="G4" s="548"/>
      <c r="H4" s="548"/>
      <c r="I4" s="548"/>
      <c r="J4" s="548"/>
      <c r="K4" s="548"/>
      <c r="L4" s="548"/>
      <c r="M4" s="563" t="s">
        <v>245</v>
      </c>
      <c r="N4" s="564"/>
      <c r="O4" s="564"/>
      <c r="P4" s="565"/>
      <c r="Q4" s="15"/>
      <c r="R4" s="549"/>
      <c r="S4" s="549"/>
      <c r="T4" s="549"/>
      <c r="U4" s="549"/>
      <c r="V4" s="16"/>
      <c r="W4" s="16"/>
      <c r="X4" s="544" t="s">
        <v>2</v>
      </c>
      <c r="Y4" s="546" t="s">
        <v>3</v>
      </c>
      <c r="Z4" s="17"/>
      <c r="AA4" s="17"/>
      <c r="AB4" s="17"/>
      <c r="AC4" s="18"/>
      <c r="AD4" s="19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20"/>
      <c r="AR4" s="5"/>
      <c r="AS4" s="5"/>
    </row>
    <row r="5" spans="1:67" ht="15" customHeight="1">
      <c r="A5" s="558"/>
      <c r="B5" s="559"/>
      <c r="C5" s="560"/>
      <c r="D5" s="548" t="s">
        <v>246</v>
      </c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15"/>
      <c r="R5" s="549"/>
      <c r="S5" s="549"/>
      <c r="T5" s="549"/>
      <c r="U5" s="549"/>
      <c r="V5" s="21"/>
      <c r="W5" s="21"/>
      <c r="X5" s="545"/>
      <c r="Y5" s="547"/>
      <c r="Z5" s="22"/>
      <c r="AA5" s="23"/>
      <c r="AB5" s="23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67" ht="15" customHeight="1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7"/>
      <c r="N6" s="27"/>
      <c r="O6" s="26"/>
      <c r="P6" s="28"/>
      <c r="Q6" s="29" t="s">
        <v>4</v>
      </c>
      <c r="R6" s="30" t="s">
        <v>5</v>
      </c>
      <c r="S6" s="31"/>
      <c r="T6" s="550" t="str">
        <f>+'[10]5. Limites M1'!N21</f>
        <v/>
      </c>
      <c r="U6" s="551"/>
      <c r="V6" s="552" t="s">
        <v>6</v>
      </c>
      <c r="W6" s="552"/>
      <c r="X6" s="32" t="s">
        <v>7</v>
      </c>
      <c r="Y6" s="33" t="s">
        <v>8</v>
      </c>
      <c r="Z6" s="34" t="s">
        <v>9</v>
      </c>
      <c r="AA6" s="35" t="s">
        <v>10</v>
      </c>
      <c r="AB6" s="33" t="s">
        <v>11</v>
      </c>
      <c r="AC6" s="36"/>
      <c r="AD6" s="533" t="s">
        <v>12</v>
      </c>
      <c r="AE6" s="534"/>
      <c r="AF6" s="534"/>
      <c r="AG6" s="534"/>
      <c r="AH6" s="535" t="s">
        <v>13</v>
      </c>
      <c r="AI6" s="536"/>
      <c r="AJ6" s="535" t="s">
        <v>14</v>
      </c>
      <c r="AK6" s="536"/>
      <c r="AL6" s="535" t="s">
        <v>15</v>
      </c>
      <c r="AM6" s="536"/>
      <c r="AN6" s="37" t="s">
        <v>16</v>
      </c>
      <c r="AO6" s="469" t="s">
        <v>17</v>
      </c>
      <c r="AP6" s="537"/>
      <c r="AQ6" s="538" t="s">
        <v>18</v>
      </c>
      <c r="AR6" s="539"/>
      <c r="AS6" s="540"/>
      <c r="AT6" s="526" t="s">
        <v>17</v>
      </c>
      <c r="AU6" s="527"/>
      <c r="AV6" s="528" t="s">
        <v>19</v>
      </c>
    </row>
    <row r="7" spans="1:67" ht="15" customHeight="1">
      <c r="A7" s="38"/>
      <c r="B7" s="39"/>
      <c r="C7" s="39"/>
      <c r="D7" s="39"/>
      <c r="E7" s="40"/>
      <c r="F7" s="40"/>
      <c r="G7" s="40"/>
      <c r="H7" s="40"/>
      <c r="I7" s="40"/>
      <c r="J7" s="530" t="s">
        <v>20</v>
      </c>
      <c r="K7" s="530"/>
      <c r="L7" s="531" t="str">
        <f>+IF('[10]1. Encabezado'!T7="","",'[10]1. Encabezado'!T7)</f>
        <v/>
      </c>
      <c r="M7" s="531"/>
      <c r="N7" s="531"/>
      <c r="O7" s="531"/>
      <c r="P7" s="41"/>
      <c r="Q7" s="42" t="s">
        <v>21</v>
      </c>
      <c r="R7" s="43" t="s">
        <v>22</v>
      </c>
      <c r="S7" s="44"/>
      <c r="T7" s="515" t="str">
        <f>+'[10]5. Limites M1'!N22</f>
        <v/>
      </c>
      <c r="U7" s="506"/>
      <c r="V7" s="532" t="str">
        <f>IF(OR(E14="",D27=""),"",IF(100-((D27/E14)*100)&gt;1.5,"No cumple","cumple"))</f>
        <v/>
      </c>
      <c r="W7" s="532"/>
      <c r="X7" s="45" t="s">
        <v>23</v>
      </c>
      <c r="Y7" s="46" t="s">
        <v>24</v>
      </c>
      <c r="Z7" s="9" t="s">
        <v>9</v>
      </c>
      <c r="AA7" s="47" t="s">
        <v>25</v>
      </c>
      <c r="AB7" s="46" t="s">
        <v>26</v>
      </c>
      <c r="AC7" s="48" t="s">
        <v>27</v>
      </c>
      <c r="AD7" s="523" t="s">
        <v>28</v>
      </c>
      <c r="AE7" s="524"/>
      <c r="AF7" s="524"/>
      <c r="AG7" s="524"/>
      <c r="AH7" s="49" t="s">
        <v>29</v>
      </c>
      <c r="AI7" s="50" t="s">
        <v>30</v>
      </c>
      <c r="AJ7" s="49" t="s">
        <v>31</v>
      </c>
      <c r="AK7" s="50" t="s">
        <v>32</v>
      </c>
      <c r="AL7" s="49" t="s">
        <v>33</v>
      </c>
      <c r="AM7" s="50" t="s">
        <v>34</v>
      </c>
      <c r="AN7" s="51" t="s">
        <v>35</v>
      </c>
      <c r="AO7" s="52" t="s">
        <v>36</v>
      </c>
      <c r="AP7" s="52" t="s">
        <v>37</v>
      </c>
      <c r="AQ7" s="541"/>
      <c r="AR7" s="542"/>
      <c r="AS7" s="543"/>
      <c r="AT7" s="53" t="s">
        <v>38</v>
      </c>
      <c r="AU7" s="54" t="s">
        <v>37</v>
      </c>
      <c r="AV7" s="529"/>
    </row>
    <row r="8" spans="1:67" ht="15" customHeight="1">
      <c r="A8" s="38"/>
      <c r="B8" s="39"/>
      <c r="C8" s="39"/>
      <c r="D8" s="39"/>
      <c r="E8" s="40"/>
      <c r="F8" s="40"/>
      <c r="G8" s="40"/>
      <c r="H8" s="40"/>
      <c r="I8" s="40"/>
      <c r="J8" s="40"/>
      <c r="K8" s="55"/>
      <c r="L8" s="514" t="str">
        <f>IF(L7="",Q11,CONCATENATE(Q7," ",Q8," ",Q9," ", Q10))</f>
        <v>Pagina xx de xx</v>
      </c>
      <c r="M8" s="514"/>
      <c r="N8" s="514"/>
      <c r="O8" s="514"/>
      <c r="P8" s="41"/>
      <c r="Q8" s="56" t="str">
        <f>IF(L7="","",6)</f>
        <v/>
      </c>
      <c r="R8" s="43" t="s">
        <v>39</v>
      </c>
      <c r="S8" s="44"/>
      <c r="T8" s="515" t="str">
        <f>+'[10]5. Limites M1'!N23</f>
        <v/>
      </c>
      <c r="U8" s="506"/>
      <c r="V8" s="516"/>
      <c r="W8" s="516"/>
      <c r="X8" s="45" t="s">
        <v>40</v>
      </c>
      <c r="Y8" s="46" t="s">
        <v>41</v>
      </c>
      <c r="Z8" s="9" t="s">
        <v>9</v>
      </c>
      <c r="AA8" s="47" t="s">
        <v>25</v>
      </c>
      <c r="AB8" s="46" t="s">
        <v>42</v>
      </c>
      <c r="AC8" s="48" t="s">
        <v>43</v>
      </c>
      <c r="AD8" s="517" t="str">
        <f>IF(N29="","",IF(N29&gt;=50,"Suelo fino","Suelo Grueso"))</f>
        <v/>
      </c>
      <c r="AE8" s="518"/>
      <c r="AF8" s="518"/>
      <c r="AG8" s="518"/>
      <c r="AH8" s="57" t="str">
        <f t="shared" ref="AH8:AH16" si="0">+IF(AN8="","",IF((AN8&gt;60),AN8,""))</f>
        <v/>
      </c>
      <c r="AI8" s="58" t="str">
        <f t="shared" ref="AI8:AI16" si="1">+IF(AN8="","",IF(AND(AN8&lt;60),AN8,""))</f>
        <v/>
      </c>
      <c r="AJ8" s="57" t="str">
        <f>+IF(AN8="","",IF((AN8&gt;30),AN8,""))</f>
        <v/>
      </c>
      <c r="AK8" s="58" t="str">
        <f>+IF(AN8="","",IF(AND(AN8&lt;30),AN8,""))</f>
        <v/>
      </c>
      <c r="AL8" s="57" t="str">
        <f>+IF(AN8="","",IF((AN8&gt;10),AN8,""))</f>
        <v/>
      </c>
      <c r="AM8" s="58" t="str">
        <f>+IF(AN8="","",IF(AND(AN8&lt;10),AN8,""))</f>
        <v/>
      </c>
      <c r="AN8" s="59" t="str">
        <f t="shared" ref="AN8:AN17" si="2">+IF(F17="","",F17)</f>
        <v/>
      </c>
      <c r="AO8" s="60" t="s">
        <v>44</v>
      </c>
      <c r="AP8" s="61">
        <v>50</v>
      </c>
      <c r="AQ8" s="62" t="s">
        <v>45</v>
      </c>
      <c r="AR8" s="63"/>
      <c r="AS8" s="63"/>
      <c r="AT8" s="64" t="s">
        <v>46</v>
      </c>
      <c r="AU8" s="65">
        <v>4.75</v>
      </c>
      <c r="AV8" s="66" t="str">
        <f>IF(F22="","",+ROUND(F22,0))</f>
        <v/>
      </c>
    </row>
    <row r="9" spans="1:67" ht="15" customHeight="1">
      <c r="A9" s="38"/>
      <c r="B9" s="67" t="s">
        <v>47</v>
      </c>
      <c r="C9" s="68" t="str">
        <f>+IF(L7="","","1")</f>
        <v/>
      </c>
      <c r="D9" s="39"/>
      <c r="E9" s="40"/>
      <c r="F9" s="40"/>
      <c r="G9" s="40"/>
      <c r="H9" s="40"/>
      <c r="I9" s="40"/>
      <c r="J9" s="40"/>
      <c r="K9" s="40"/>
      <c r="L9" s="40"/>
      <c r="M9" s="39"/>
      <c r="N9" s="39"/>
      <c r="O9" s="40"/>
      <c r="P9" s="41"/>
      <c r="Q9" s="69" t="s">
        <v>48</v>
      </c>
      <c r="R9" s="519" t="s">
        <v>49</v>
      </c>
      <c r="S9" s="520"/>
      <c r="T9" s="521" t="str">
        <f>+IF(L7="","",'[10]5. Limites M1'!P17-'[10]5. Limites M1'!P18)</f>
        <v/>
      </c>
      <c r="U9" s="522"/>
      <c r="V9" s="516"/>
      <c r="W9" s="516"/>
      <c r="X9" s="45" t="s">
        <v>50</v>
      </c>
      <c r="Y9" s="46" t="s">
        <v>51</v>
      </c>
      <c r="Z9" s="9" t="s">
        <v>9</v>
      </c>
      <c r="AA9" s="47" t="s">
        <v>10</v>
      </c>
      <c r="AB9" s="9" t="s">
        <v>52</v>
      </c>
      <c r="AC9" s="70"/>
      <c r="AD9" s="71" t="s">
        <v>53</v>
      </c>
      <c r="AE9" s="523" t="s">
        <v>54</v>
      </c>
      <c r="AF9" s="524"/>
      <c r="AG9" s="524"/>
      <c r="AH9" s="57" t="str">
        <f t="shared" si="0"/>
        <v/>
      </c>
      <c r="AI9" s="58" t="str">
        <f t="shared" si="1"/>
        <v/>
      </c>
      <c r="AJ9" s="57" t="str">
        <f t="shared" ref="AJ9:AJ16" si="3">+IF(AN9="","",IF((AN9&gt;30),AN9,""))</f>
        <v/>
      </c>
      <c r="AK9" s="58" t="str">
        <f t="shared" ref="AK9:AK15" si="4">+IF(AN9="","",IF(AND(AN9&lt;30),AN9,""))</f>
        <v/>
      </c>
      <c r="AL9" s="57" t="str">
        <f>+IF(AN9="","",IF((AN9&gt;10),AN9,""))</f>
        <v/>
      </c>
      <c r="AM9" s="58" t="str">
        <f t="shared" ref="AM9:AM16" si="5">+IF(AN9="","",IF(AND(AN9&lt;10),AN9,""))</f>
        <v/>
      </c>
      <c r="AN9" s="59" t="str">
        <f t="shared" si="2"/>
        <v/>
      </c>
      <c r="AO9" s="60" t="s">
        <v>55</v>
      </c>
      <c r="AP9" s="61">
        <v>37.5</v>
      </c>
      <c r="AQ9" s="72" t="s">
        <v>56</v>
      </c>
      <c r="AR9" s="63" t="str">
        <f>IF(AV11="","",IF(AND($AV$9&lt;=50,$AV$10&lt;=30,$AV$11&lt;=15,OR($T$8&lt;=6,$T$8="N.P.")),"Cumple","No cumple"))</f>
        <v/>
      </c>
      <c r="AS9" s="63" t="str">
        <f>IF(AR9="cumple",AQ9,"")</f>
        <v/>
      </c>
      <c r="AT9" s="73" t="s">
        <v>57</v>
      </c>
      <c r="AU9" s="74">
        <v>2</v>
      </c>
      <c r="AV9" s="75" t="str">
        <f>IF(F23="","",+ROUND(F23,0))</f>
        <v/>
      </c>
    </row>
    <row r="10" spans="1:67" ht="15" customHeight="1">
      <c r="A10" s="38"/>
      <c r="B10" s="67"/>
      <c r="C10" s="39"/>
      <c r="D10" s="39"/>
      <c r="E10" s="76"/>
      <c r="F10" s="76"/>
      <c r="G10" s="76"/>
      <c r="H10" s="76"/>
      <c r="I10" s="76"/>
      <c r="J10" s="76"/>
      <c r="K10" s="76"/>
      <c r="L10" s="76"/>
      <c r="M10" s="77"/>
      <c r="N10" s="77"/>
      <c r="O10" s="78"/>
      <c r="P10" s="79"/>
      <c r="Q10" s="69" t="str">
        <f>+IF(L7="","",'[10]1. Encabezado'!AB10)</f>
        <v/>
      </c>
      <c r="R10" s="519"/>
      <c r="S10" s="520"/>
      <c r="T10" s="521"/>
      <c r="U10" s="522"/>
      <c r="V10" s="525"/>
      <c r="W10" s="525"/>
      <c r="X10" s="45" t="s">
        <v>58</v>
      </c>
      <c r="Y10" s="46" t="s">
        <v>59</v>
      </c>
      <c r="Z10" s="9" t="s">
        <v>9</v>
      </c>
      <c r="AA10" s="47" t="s">
        <v>25</v>
      </c>
      <c r="AB10" s="9" t="s">
        <v>60</v>
      </c>
      <c r="AC10" s="70" t="s">
        <v>61</v>
      </c>
      <c r="AD10" s="80" t="str">
        <f>IF(T6="","",IF(OR(T8="N.P.",T6="N.L."),"Limo",IF(OR(T8&lt;4,T8&lt;(0.73*(T6-20))),"Limo",IF(AND(T8&gt;7,T8&gt;=(0.73*(T6-20))),"Arcilla",IF(AND(T8&gt;=4,T8&lt;=7,T8&gt;=(0.73*(T6-20))),"Arcilla limosa","Revisar")))))</f>
        <v/>
      </c>
      <c r="AE10" s="517" t="str">
        <f>IF(F22="","",+IF(S26&gt;R26*0.5,"Grava","Arena"))</f>
        <v/>
      </c>
      <c r="AF10" s="518"/>
      <c r="AG10" s="518"/>
      <c r="AH10" s="57" t="str">
        <f t="shared" si="0"/>
        <v/>
      </c>
      <c r="AI10" s="58" t="str">
        <f t="shared" si="1"/>
        <v/>
      </c>
      <c r="AJ10" s="57" t="str">
        <f t="shared" si="3"/>
        <v/>
      </c>
      <c r="AK10" s="58" t="str">
        <f t="shared" si="4"/>
        <v/>
      </c>
      <c r="AL10" s="57" t="str">
        <f>+IF(AN10="","",IF((AN10&gt;10),AN10,""))</f>
        <v/>
      </c>
      <c r="AM10" s="58" t="str">
        <f t="shared" si="5"/>
        <v/>
      </c>
      <c r="AN10" s="59" t="str">
        <f t="shared" si="2"/>
        <v/>
      </c>
      <c r="AO10" s="60" t="s">
        <v>62</v>
      </c>
      <c r="AP10" s="61">
        <v>25</v>
      </c>
      <c r="AQ10" s="72" t="s">
        <v>63</v>
      </c>
      <c r="AR10" s="63" t="str">
        <f>IF(AV11="","",IF(AND($AV$10&lt;=50,$AV$11&lt;=25,OR($T$8&lt;=6,$T$8="N.P")),"Cumple","No cumple"))</f>
        <v/>
      </c>
      <c r="AS10" s="63" t="str">
        <f t="shared" ref="AS10:AS20" si="6">IF(AR10="cumple",AQ10,"")</f>
        <v/>
      </c>
      <c r="AT10" s="73" t="s">
        <v>64</v>
      </c>
      <c r="AU10" s="74">
        <v>0.42499999999999999</v>
      </c>
      <c r="AV10" s="75" t="str">
        <f>IF(F24="","",+ROUND(F24,0))</f>
        <v/>
      </c>
    </row>
    <row r="11" spans="1:67" ht="15" customHeight="1">
      <c r="A11" s="81"/>
      <c r="B11" s="504" t="s">
        <v>65</v>
      </c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82"/>
      <c r="Q11" s="83" t="s">
        <v>66</v>
      </c>
      <c r="R11" s="43" t="s">
        <v>67</v>
      </c>
      <c r="S11" s="44"/>
      <c r="T11" s="505" t="str">
        <f>++IF(L7="","",'[10]5. Limites M1'!P16-'[10]5. Limites M1'!P18)</f>
        <v/>
      </c>
      <c r="U11" s="506"/>
      <c r="V11" s="507"/>
      <c r="W11" s="507"/>
      <c r="X11" s="84" t="s">
        <v>68</v>
      </c>
      <c r="Y11" s="4" t="s">
        <v>69</v>
      </c>
      <c r="Z11" s="9" t="s">
        <v>9</v>
      </c>
      <c r="AA11" s="47" t="s">
        <v>25</v>
      </c>
      <c r="AB11" s="9" t="s">
        <v>70</v>
      </c>
      <c r="AC11" s="70" t="s">
        <v>71</v>
      </c>
      <c r="AD11" s="85" t="s">
        <v>72</v>
      </c>
      <c r="AE11" s="508" t="s">
        <v>73</v>
      </c>
      <c r="AF11" s="509"/>
      <c r="AG11" s="509"/>
      <c r="AH11" s="57" t="str">
        <f t="shared" si="0"/>
        <v/>
      </c>
      <c r="AI11" s="58" t="str">
        <f t="shared" si="1"/>
        <v/>
      </c>
      <c r="AJ11" s="57" t="str">
        <f t="shared" si="3"/>
        <v/>
      </c>
      <c r="AK11" s="58" t="str">
        <f t="shared" si="4"/>
        <v/>
      </c>
      <c r="AL11" s="57" t="str">
        <f t="shared" ref="AL11:AL16" si="7">+IF(AN11="","",IF((AN11&gt;10),AN11,""))</f>
        <v/>
      </c>
      <c r="AM11" s="58" t="str">
        <f t="shared" si="5"/>
        <v/>
      </c>
      <c r="AN11" s="59" t="str">
        <f t="shared" si="2"/>
        <v/>
      </c>
      <c r="AO11" s="86" t="s">
        <v>74</v>
      </c>
      <c r="AP11" s="61">
        <f>0.75*25.4</f>
        <v>19.049999999999997</v>
      </c>
      <c r="AQ11" s="72" t="s">
        <v>75</v>
      </c>
      <c r="AR11" s="63" t="str">
        <f>IF(AV11="","",IF(AND($AV$10&gt;=51,$AV$11&lt;=10,$T$8="N.P."),"Cumple","No cumple"))</f>
        <v/>
      </c>
      <c r="AS11" s="63" t="str">
        <f t="shared" si="6"/>
        <v/>
      </c>
      <c r="AT11" s="87" t="s">
        <v>76</v>
      </c>
      <c r="AU11" s="88">
        <v>7.4999999999999997E-2</v>
      </c>
      <c r="AV11" s="89" t="str">
        <f>IF(F25="","",+ROUND(F25,0))</f>
        <v/>
      </c>
    </row>
    <row r="12" spans="1:67" ht="15" customHeight="1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93"/>
      <c r="R12" s="94" t="s">
        <v>77</v>
      </c>
      <c r="S12" s="95" t="str">
        <f>+IF(T12="","",IF(T12&gt;=0.75,"No","Si"))</f>
        <v/>
      </c>
      <c r="T12" s="510" t="str">
        <f>++IF(L7="","",T9/T11)</f>
        <v/>
      </c>
      <c r="U12" s="511"/>
      <c r="V12" s="20"/>
      <c r="W12" s="96"/>
      <c r="X12" s="84" t="s">
        <v>68</v>
      </c>
      <c r="Y12" s="4" t="s">
        <v>78</v>
      </c>
      <c r="Z12" s="9" t="s">
        <v>9</v>
      </c>
      <c r="AA12" s="47" t="s">
        <v>25</v>
      </c>
      <c r="AB12" s="9" t="s">
        <v>79</v>
      </c>
      <c r="AC12" s="70" t="s">
        <v>71</v>
      </c>
      <c r="AD12" s="84" t="str">
        <f>IF(T6="","",IF(T6&gt;=50,"Alta", "baja"))</f>
        <v/>
      </c>
      <c r="AE12" s="97" t="s">
        <v>80</v>
      </c>
      <c r="AF12" s="98"/>
      <c r="AG12" s="99" t="str">
        <f>IF(E13="","",IF(MIN(AN8:AN16)&gt;10,0,IF(AL22="",10^(LOG(AM20)+(((30-AM18)/(AL18-AM18))*LOG(AL20/AM20))),AL22)))</f>
        <v/>
      </c>
      <c r="AH12" s="57" t="str">
        <f t="shared" si="0"/>
        <v/>
      </c>
      <c r="AI12" s="58" t="str">
        <f t="shared" si="1"/>
        <v/>
      </c>
      <c r="AJ12" s="57" t="str">
        <f t="shared" si="3"/>
        <v/>
      </c>
      <c r="AK12" s="58" t="str">
        <f t="shared" si="4"/>
        <v/>
      </c>
      <c r="AL12" s="57" t="str">
        <f t="shared" si="7"/>
        <v/>
      </c>
      <c r="AM12" s="58" t="str">
        <f t="shared" si="5"/>
        <v/>
      </c>
      <c r="AN12" s="59" t="str">
        <f t="shared" si="2"/>
        <v/>
      </c>
      <c r="AO12" s="86" t="s">
        <v>81</v>
      </c>
      <c r="AP12" s="61">
        <v>9.5</v>
      </c>
      <c r="AQ12" s="72" t="s">
        <v>82</v>
      </c>
      <c r="AR12" s="63" t="str">
        <f>IF(AV11="","",IF(AND($AV$11&lt;=35,OR($T$6&lt;=40,T6="N.L."),OR(T8&lt;=10,T8="N.P.")),"Cumple","No cumple"))</f>
        <v/>
      </c>
      <c r="AS12" s="100" t="str">
        <f t="shared" si="6"/>
        <v/>
      </c>
      <c r="AT12" s="101"/>
      <c r="AU12" s="102"/>
      <c r="AV12" s="103"/>
    </row>
    <row r="13" spans="1:67" ht="15" customHeight="1">
      <c r="A13" s="90"/>
      <c r="B13" s="512" t="s">
        <v>83</v>
      </c>
      <c r="C13" s="513"/>
      <c r="D13" s="513"/>
      <c r="E13" s="104" t="str">
        <f>IF(OR(V14="",V15=""),"",+V15-V14)</f>
        <v/>
      </c>
      <c r="F13" s="105" t="str">
        <f>IF(E13="","","g")</f>
        <v/>
      </c>
      <c r="G13" s="8"/>
      <c r="H13" s="8"/>
      <c r="I13" s="106"/>
      <c r="J13" s="107"/>
      <c r="K13" s="107"/>
      <c r="L13" s="107"/>
      <c r="M13" s="107"/>
      <c r="N13" s="108"/>
      <c r="O13" s="107"/>
      <c r="P13" s="48"/>
      <c r="Q13" s="68"/>
      <c r="V13" s="20"/>
      <c r="W13" s="96"/>
      <c r="X13" s="84" t="s">
        <v>84</v>
      </c>
      <c r="Y13" s="4" t="s">
        <v>85</v>
      </c>
      <c r="Z13" s="9" t="s">
        <v>9</v>
      </c>
      <c r="AA13" s="47" t="s">
        <v>10</v>
      </c>
      <c r="AB13" s="9" t="s">
        <v>52</v>
      </c>
      <c r="AC13" s="9" t="s">
        <v>71</v>
      </c>
      <c r="AD13" s="109" t="s">
        <v>86</v>
      </c>
      <c r="AE13" s="110" t="s">
        <v>87</v>
      </c>
      <c r="AF13" s="98"/>
      <c r="AG13" s="99" t="str">
        <f>IF(E13="","",IF(MIN(AN8:AN16)&gt;30,0,IF(AJ22="",10^(LOG(AK20)+(((30-AK18)/(AJ18-AK18))*LOG(AJ20/AK20))),AJ22)))</f>
        <v/>
      </c>
      <c r="AH13" s="57" t="str">
        <f t="shared" si="0"/>
        <v/>
      </c>
      <c r="AI13" s="58" t="str">
        <f t="shared" si="1"/>
        <v/>
      </c>
      <c r="AJ13" s="57" t="str">
        <f t="shared" si="3"/>
        <v/>
      </c>
      <c r="AK13" s="58" t="str">
        <f t="shared" si="4"/>
        <v/>
      </c>
      <c r="AL13" s="57" t="str">
        <f t="shared" si="7"/>
        <v/>
      </c>
      <c r="AM13" s="58" t="str">
        <f t="shared" si="5"/>
        <v/>
      </c>
      <c r="AN13" s="59" t="str">
        <f t="shared" si="2"/>
        <v/>
      </c>
      <c r="AO13" s="60" t="s">
        <v>46</v>
      </c>
      <c r="AP13" s="61">
        <v>4.75</v>
      </c>
      <c r="AQ13" s="72" t="s">
        <v>88</v>
      </c>
      <c r="AR13" s="63" t="str">
        <f>IF(AV11="","",IF(T6="N.L.","No cumple",IF(AND($AV$11&lt;=35,T6&gt;=41,OR(T8&lt;=10,T8="N.P.")),"Cumple","No cumple")))</f>
        <v/>
      </c>
      <c r="AS13" s="100" t="str">
        <f t="shared" si="6"/>
        <v/>
      </c>
    </row>
    <row r="14" spans="1:67" ht="15" customHeight="1">
      <c r="A14" s="90"/>
      <c r="B14" s="493" t="s">
        <v>89</v>
      </c>
      <c r="C14" s="494"/>
      <c r="D14" s="494"/>
      <c r="E14" s="111" t="str">
        <f>IF(OR(V14="",V16=""),"",+V16-V14)</f>
        <v/>
      </c>
      <c r="F14" s="112" t="str">
        <f>IF(E14="","","g")</f>
        <v/>
      </c>
      <c r="G14" s="8"/>
      <c r="H14" s="8"/>
      <c r="I14" s="113"/>
      <c r="J14" s="107"/>
      <c r="K14" s="107"/>
      <c r="L14" s="107"/>
      <c r="M14" s="108"/>
      <c r="N14" s="108"/>
      <c r="O14" s="107"/>
      <c r="P14" s="48"/>
      <c r="Q14" s="114" t="s">
        <v>90</v>
      </c>
      <c r="R14" s="115"/>
      <c r="S14" s="116"/>
      <c r="T14" s="117"/>
      <c r="U14" s="117"/>
      <c r="V14" s="118"/>
      <c r="W14" s="119" t="str">
        <f>IF(V14="","","g")</f>
        <v/>
      </c>
      <c r="X14" s="120" t="s">
        <v>84</v>
      </c>
      <c r="Y14" s="4" t="s">
        <v>91</v>
      </c>
      <c r="Z14" s="9" t="s">
        <v>9</v>
      </c>
      <c r="AA14" s="47" t="s">
        <v>10</v>
      </c>
      <c r="AB14" s="46" t="s">
        <v>11</v>
      </c>
      <c r="AC14" s="9" t="s">
        <v>71</v>
      </c>
      <c r="AD14" s="121" t="str">
        <f>IF(AD8="","",IF(AND(AD10="Arcilla",AD12="baja",T12&gt;=0.75),"CL",IF(OR(AD10="Arcilla limosa",T12&gt;=0.75),"CL-ML",IF(AND(AD10="Arcilla",AD12="Alta",T12&gt;=0.75),"CH",IF(AND(AD10="Limo",AD12="baja",T12&gt;=0.75),"ML",IF(AND(AD10="Limo",AD12="Alta",T12&gt;=0.75),"MH",IF(OR(AND(AD10="Arcilla",AD12="Alta",T12&lt;0.75),AND(AD10="Limo",AD12="Alta",T12&lt;0.75)),"OH",IF(OR(AND(AD10="Limo",AD12="baja",T12&lt;0.75),AND(OR(AD10="Arcilla",AD10="Arcilla limosa"),AD12="baja",T12&lt;0.75)),"OL",""))))))))</f>
        <v/>
      </c>
      <c r="AE14" s="110" t="s">
        <v>92</v>
      </c>
      <c r="AF14" s="122"/>
      <c r="AG14" s="123" t="str">
        <f>IF(E13="","",IF(MIN(AN8:AN16)&gt;60,0,IF(AH22="",(10^(LOG(AI20)+(((60-AI18)/(AH18-AI18))*LOG(AH20/AI20)))),AH22)))</f>
        <v/>
      </c>
      <c r="AH14" s="57" t="str">
        <f t="shared" si="0"/>
        <v/>
      </c>
      <c r="AI14" s="58" t="str">
        <f t="shared" si="1"/>
        <v/>
      </c>
      <c r="AJ14" s="57" t="str">
        <f t="shared" si="3"/>
        <v/>
      </c>
      <c r="AK14" s="58" t="str">
        <f t="shared" si="4"/>
        <v/>
      </c>
      <c r="AL14" s="57" t="str">
        <f t="shared" si="7"/>
        <v/>
      </c>
      <c r="AM14" s="58" t="str">
        <f t="shared" si="5"/>
        <v/>
      </c>
      <c r="AN14" s="59" t="str">
        <f t="shared" si="2"/>
        <v/>
      </c>
      <c r="AO14" s="60" t="s">
        <v>57</v>
      </c>
      <c r="AP14" s="61">
        <v>2</v>
      </c>
      <c r="AQ14" s="72" t="s">
        <v>93</v>
      </c>
      <c r="AR14" s="63" t="str">
        <f>IF(AV11="","",IF(T8="N.P.","No cumple",IF(AND($AV$11&lt;=35,OR(T6&lt;=40,T6="N.L."),T8&gt;=11),"Cumple","No cumple")))</f>
        <v/>
      </c>
      <c r="AS14" s="100" t="str">
        <f t="shared" si="6"/>
        <v/>
      </c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I14" s="124"/>
      <c r="BJ14" s="124"/>
      <c r="BK14" s="124"/>
      <c r="BL14" s="124"/>
      <c r="BM14" s="125"/>
      <c r="BN14" s="126" t="s">
        <v>94</v>
      </c>
      <c r="BO14" s="126" t="s">
        <v>95</v>
      </c>
    </row>
    <row r="15" spans="1:67" ht="15" customHeight="1">
      <c r="A15" s="127"/>
      <c r="B15" s="495" t="s">
        <v>17</v>
      </c>
      <c r="C15" s="496"/>
      <c r="D15" s="495" t="s">
        <v>96</v>
      </c>
      <c r="E15" s="498" t="s">
        <v>16</v>
      </c>
      <c r="F15" s="496"/>
      <c r="G15" s="128"/>
      <c r="H15" s="8"/>
      <c r="I15" s="113"/>
      <c r="J15" s="129"/>
      <c r="K15" s="129"/>
      <c r="L15" s="129"/>
      <c r="M15" s="129"/>
      <c r="N15" s="129"/>
      <c r="O15" s="130"/>
      <c r="P15" s="48"/>
      <c r="Q15" s="90" t="str">
        <f>+CONCATENATE(B13,"+",Q14)</f>
        <v>M1=Masa inicial antes de lavado+Masa del recipiente</v>
      </c>
      <c r="R15" s="8"/>
      <c r="S15" s="8"/>
      <c r="T15" s="8"/>
      <c r="U15" s="8"/>
      <c r="V15" s="131"/>
      <c r="W15" s="132" t="str">
        <f>IF(V15="","","g")</f>
        <v/>
      </c>
      <c r="X15" s="32" t="s">
        <v>97</v>
      </c>
      <c r="Y15" s="33" t="s">
        <v>98</v>
      </c>
      <c r="Z15" s="34" t="s">
        <v>99</v>
      </c>
      <c r="AA15" s="34" t="s">
        <v>100</v>
      </c>
      <c r="AB15" s="34" t="s">
        <v>101</v>
      </c>
      <c r="AC15" s="34" t="s">
        <v>102</v>
      </c>
      <c r="AD15" s="499" t="str">
        <f>IF(AND(AD10="Limo",AD14=X11,AD12="Baja"),Y11,IF(AND(AD10="Limo",AD14=X13,AD12="Alta"),Y13,IF(AND(AD10="Arcilla",AD14=X12,AD12="Baja"),Y12,IF(AND(AD10="Arcilla",AD14=X14,AD12="Alta"),Y14,IF(AND(T12&gt;=0.75,AD8="Suelo fino"),VLOOKUP(B37,X6:Y10,2,0),"")))))</f>
        <v/>
      </c>
      <c r="AE15" s="501" t="s">
        <v>103</v>
      </c>
      <c r="AF15" s="501"/>
      <c r="AG15" s="133" t="str">
        <f>IF(AND(AG12="",AG13="",AG14=""),"",IF(OR(AG12=0,AG13=0,AG14=0),0,((AG13*AG13)/(AG14*AG12))))</f>
        <v/>
      </c>
      <c r="AH15" s="57" t="str">
        <f t="shared" si="0"/>
        <v/>
      </c>
      <c r="AI15" s="58" t="str">
        <f t="shared" si="1"/>
        <v/>
      </c>
      <c r="AJ15" s="57" t="str">
        <f t="shared" si="3"/>
        <v/>
      </c>
      <c r="AK15" s="58" t="str">
        <f t="shared" si="4"/>
        <v/>
      </c>
      <c r="AL15" s="57" t="str">
        <f>+IF(AN15="","",IF((AN15&gt;10),AN15,""))</f>
        <v/>
      </c>
      <c r="AM15" s="58" t="str">
        <f t="shared" si="5"/>
        <v/>
      </c>
      <c r="AN15" s="59" t="str">
        <f t="shared" si="2"/>
        <v/>
      </c>
      <c r="AO15" s="60" t="s">
        <v>64</v>
      </c>
      <c r="AP15" s="61">
        <v>0.42499999999999999</v>
      </c>
      <c r="AQ15" s="72" t="s">
        <v>104</v>
      </c>
      <c r="AR15" s="63" t="str">
        <f>IF(AV11="","",IF(OR(T6="N.L.",T8="N.P."),"No cumple",IF(AND($AV$11&lt;=35,T6&gt;=41,T8&gt;=11),"Cumple","No cumple")))</f>
        <v/>
      </c>
      <c r="AS15" s="100" t="str">
        <f t="shared" si="6"/>
        <v/>
      </c>
      <c r="AT15" s="134"/>
      <c r="AU15" s="134"/>
      <c r="AV15" s="135"/>
      <c r="AW15" s="136"/>
      <c r="AX15" s="137"/>
      <c r="AY15" s="138"/>
      <c r="AZ15" s="135"/>
      <c r="BA15" s="136"/>
      <c r="BB15" s="137"/>
      <c r="BC15" s="138"/>
      <c r="BD15" s="135"/>
      <c r="BE15" s="136"/>
      <c r="BF15" s="137"/>
      <c r="BG15" s="125"/>
      <c r="BI15" s="124"/>
      <c r="BJ15" s="124"/>
      <c r="BK15" s="124"/>
      <c r="BL15" s="124"/>
      <c r="BM15" s="125"/>
      <c r="BN15" s="126" t="s">
        <v>105</v>
      </c>
      <c r="BO15" s="126" t="s">
        <v>106</v>
      </c>
    </row>
    <row r="16" spans="1:67" ht="15.95" customHeight="1">
      <c r="A16" s="90"/>
      <c r="B16" s="139" t="s">
        <v>36</v>
      </c>
      <c r="C16" s="140" t="s">
        <v>37</v>
      </c>
      <c r="D16" s="497"/>
      <c r="E16" s="139" t="s">
        <v>107</v>
      </c>
      <c r="F16" s="141" t="s">
        <v>35</v>
      </c>
      <c r="G16" s="8"/>
      <c r="H16" s="128"/>
      <c r="I16" s="142"/>
      <c r="J16" s="143"/>
      <c r="K16" s="143"/>
      <c r="L16" s="143"/>
      <c r="M16" s="144"/>
      <c r="N16" s="143"/>
      <c r="O16" s="143"/>
      <c r="P16" s="145"/>
      <c r="Q16" s="146" t="str">
        <f>+CONCATENATE(B14,"+",Q14)</f>
        <v>M2=Masa seca después de lavado+Masa del recipiente</v>
      </c>
      <c r="R16" s="147"/>
      <c r="S16" s="148"/>
      <c r="T16" s="149"/>
      <c r="U16" s="149"/>
      <c r="V16" s="150"/>
      <c r="W16" s="151" t="str">
        <f>IF(V16="","","g")</f>
        <v/>
      </c>
      <c r="X16" s="45" t="s">
        <v>108</v>
      </c>
      <c r="Y16" s="46" t="s">
        <v>109</v>
      </c>
      <c r="Z16" s="9" t="s">
        <v>99</v>
      </c>
      <c r="AA16" s="9" t="s">
        <v>100</v>
      </c>
      <c r="AB16" s="9" t="s">
        <v>110</v>
      </c>
      <c r="AC16" s="70" t="s">
        <v>111</v>
      </c>
      <c r="AD16" s="500"/>
      <c r="AE16" s="502" t="s">
        <v>112</v>
      </c>
      <c r="AF16" s="503"/>
      <c r="AG16" s="152" t="str">
        <f>IF(AND(AG12="",AG14=""),"",IF(OR(AG12=0,AG14=0),0,(AG14/AG12)))</f>
        <v/>
      </c>
      <c r="AH16" s="57" t="str">
        <f t="shared" si="0"/>
        <v/>
      </c>
      <c r="AI16" s="58" t="str">
        <f t="shared" si="1"/>
        <v/>
      </c>
      <c r="AJ16" s="57" t="str">
        <f t="shared" si="3"/>
        <v/>
      </c>
      <c r="AK16" s="58" t="str">
        <f>+IF(AN16="","",IF(AND(AN16&lt;30),AN16,""))</f>
        <v/>
      </c>
      <c r="AL16" s="57" t="str">
        <f t="shared" si="7"/>
        <v/>
      </c>
      <c r="AM16" s="58" t="str">
        <f t="shared" si="5"/>
        <v/>
      </c>
      <c r="AN16" s="59" t="str">
        <f t="shared" si="2"/>
        <v/>
      </c>
      <c r="AO16" s="60" t="s">
        <v>76</v>
      </c>
      <c r="AP16" s="61">
        <v>7.4999999999999997E-2</v>
      </c>
      <c r="AQ16" s="84" t="s">
        <v>113</v>
      </c>
      <c r="AR16" s="63" t="str">
        <f>IF(AV11="","",IF(AND($AV$11&gt;=36,OR(T6&lt;=40,T6="N.L."),OR(T8&lt;=10,T8="N.P.")),"Cumple","No cumple"))</f>
        <v/>
      </c>
      <c r="AS16" s="100" t="str">
        <f t="shared" si="6"/>
        <v/>
      </c>
      <c r="AT16" s="134"/>
      <c r="AU16" s="134"/>
      <c r="AV16" s="138"/>
      <c r="AW16" s="153"/>
      <c r="AX16" s="154"/>
      <c r="AY16" s="155"/>
      <c r="AZ16" s="138"/>
      <c r="BA16" s="153"/>
      <c r="BB16" s="154"/>
      <c r="BC16" s="155"/>
      <c r="BD16" s="138"/>
      <c r="BE16" s="153"/>
      <c r="BF16" s="154"/>
      <c r="BG16" s="125"/>
      <c r="BI16" s="124"/>
      <c r="BJ16" s="124"/>
      <c r="BK16" s="124"/>
      <c r="BL16" s="124"/>
      <c r="BM16" s="125"/>
      <c r="BN16" s="126" t="s">
        <v>114</v>
      </c>
      <c r="BO16" s="126" t="s">
        <v>115</v>
      </c>
    </row>
    <row r="17" spans="1:67" s="164" customFormat="1" ht="15.95" customHeight="1">
      <c r="A17" s="90"/>
      <c r="B17" s="156" t="s">
        <v>44</v>
      </c>
      <c r="C17" s="157">
        <v>50</v>
      </c>
      <c r="D17" s="158"/>
      <c r="E17" s="159" t="str">
        <f>IF(E13="","",IF(D17="",0,(D17/$E$13)*100))</f>
        <v/>
      </c>
      <c r="F17" s="160" t="str">
        <f>IF(E13="","",(100-E17))</f>
        <v/>
      </c>
      <c r="G17" s="8"/>
      <c r="H17" s="161"/>
      <c r="I17" s="162"/>
      <c r="J17" s="144"/>
      <c r="K17" s="144"/>
      <c r="L17" s="144"/>
      <c r="M17" s="144"/>
      <c r="N17" s="144"/>
      <c r="O17" s="143"/>
      <c r="P17" s="48"/>
      <c r="Q17" s="128"/>
      <c r="R17" s="161"/>
      <c r="S17" s="163"/>
      <c r="T17" s="161"/>
      <c r="U17" s="163"/>
      <c r="X17" s="165" t="s">
        <v>116</v>
      </c>
      <c r="Y17" s="166" t="s">
        <v>117</v>
      </c>
      <c r="Z17" s="167" t="s">
        <v>99</v>
      </c>
      <c r="AA17" s="167" t="s">
        <v>100</v>
      </c>
      <c r="AB17" s="167" t="s">
        <v>118</v>
      </c>
      <c r="AC17" s="168" t="s">
        <v>111</v>
      </c>
      <c r="AD17" s="4"/>
      <c r="AE17" s="169"/>
      <c r="AF17" s="170" t="s">
        <v>119</v>
      </c>
      <c r="AG17" s="170" t="s">
        <v>120</v>
      </c>
      <c r="AH17" s="49" t="s">
        <v>121</v>
      </c>
      <c r="AI17" s="50" t="s">
        <v>122</v>
      </c>
      <c r="AJ17" s="49" t="s">
        <v>121</v>
      </c>
      <c r="AK17" s="50" t="s">
        <v>122</v>
      </c>
      <c r="AL17" s="49" t="s">
        <v>121</v>
      </c>
      <c r="AM17" s="50" t="s">
        <v>122</v>
      </c>
      <c r="AN17" s="171" t="str">
        <f t="shared" si="2"/>
        <v/>
      </c>
      <c r="AO17" s="172" t="s">
        <v>123</v>
      </c>
      <c r="AP17" s="173"/>
      <c r="AQ17" s="84" t="s">
        <v>124</v>
      </c>
      <c r="AR17" s="63" t="str">
        <f>IF(AV11="","",IF(T6="N.L.","No cumple",IF(AND($AV$11&gt;=36,T6&gt;=41,OR(T8&lt;=10,T8="N.P.")),"Cumple","No cumple")))</f>
        <v/>
      </c>
      <c r="AS17" s="100" t="str">
        <f t="shared" si="6"/>
        <v/>
      </c>
      <c r="AT17" s="134"/>
      <c r="AU17" s="134"/>
      <c r="AV17" s="135"/>
      <c r="AW17" s="136"/>
      <c r="AX17" s="174"/>
      <c r="AY17" s="174"/>
      <c r="AZ17" s="135"/>
      <c r="BA17" s="136"/>
      <c r="BB17" s="174"/>
      <c r="BC17" s="174"/>
      <c r="BD17" s="135"/>
      <c r="BE17" s="136"/>
      <c r="BF17" s="174"/>
      <c r="BG17" s="175"/>
      <c r="BI17" s="176"/>
      <c r="BJ17" s="176"/>
      <c r="BK17" s="176"/>
      <c r="BL17" s="176"/>
      <c r="BM17" s="175"/>
      <c r="BN17" s="177" t="s">
        <v>125</v>
      </c>
      <c r="BO17" s="177" t="s">
        <v>115</v>
      </c>
    </row>
    <row r="18" spans="1:67" ht="15.95" customHeight="1">
      <c r="A18" s="90"/>
      <c r="B18" s="156" t="s">
        <v>55</v>
      </c>
      <c r="C18" s="157">
        <v>37.5</v>
      </c>
      <c r="D18" s="158"/>
      <c r="E18" s="159" t="str">
        <f t="shared" ref="E18:E26" si="8">IF($E$13="","",IF(D18="",0,D18/$E$13*100))</f>
        <v/>
      </c>
      <c r="F18" s="160" t="str">
        <f t="shared" ref="F18:F25" si="9">IF($E$13="","",(F17-E18))</f>
        <v/>
      </c>
      <c r="G18" s="8"/>
      <c r="H18" s="8"/>
      <c r="I18" s="162"/>
      <c r="J18" s="178"/>
      <c r="K18" s="178"/>
      <c r="L18" s="178"/>
      <c r="M18" s="178"/>
      <c r="N18" s="178"/>
      <c r="O18" s="179"/>
      <c r="P18" s="48"/>
      <c r="Q18" s="8"/>
      <c r="R18" s="47"/>
      <c r="S18" s="180"/>
      <c r="T18" s="161"/>
      <c r="U18" s="161"/>
      <c r="X18" s="45" t="s">
        <v>126</v>
      </c>
      <c r="Y18" s="46" t="s">
        <v>127</v>
      </c>
      <c r="Z18" s="167" t="s">
        <v>99</v>
      </c>
      <c r="AA18" s="167" t="s">
        <v>100</v>
      </c>
      <c r="AB18" s="9" t="s">
        <v>128</v>
      </c>
      <c r="AC18" s="181"/>
      <c r="AD18" s="182"/>
      <c r="AE18" s="183" t="s">
        <v>129</v>
      </c>
      <c r="AF18" s="184" t="str">
        <f>IF(OR(AND(AG15="",AG16=""),AE10="Arena"),"",IF(AND(AG16&gt;=4,AG15&gt;=1,AG15&lt;=3),"W",IF(AND(AG16&lt;4,OR(AG15&lt;1,AG15&gt;3)),"P","Revisar")))</f>
        <v/>
      </c>
      <c r="AG18" s="184" t="str">
        <f>IF(OR(AND(AG15="",AG16=""),AE10="Grava"),"",IF(AND(AG16&gt;=6,AG15&gt;=1,AG15&lt;=3),"W",IF(AND(AG16&lt;6,OR(AG15&lt;1,AG15&gt;3)),"P","Revisar")))</f>
        <v/>
      </c>
      <c r="AH18" s="57" t="str">
        <f>IF(E13="","",MIN(AH8:AH16))</f>
        <v/>
      </c>
      <c r="AI18" s="185" t="str">
        <f>IF(E13="","",MAX(AI8:AI16))</f>
        <v/>
      </c>
      <c r="AJ18" s="57" t="str">
        <f>IF(E13="","",MIN(AJ8:AJ16))</f>
        <v/>
      </c>
      <c r="AK18" s="185" t="str">
        <f>IF(E13="","",+MAX(AK8:AK16))</f>
        <v/>
      </c>
      <c r="AL18" s="57" t="str">
        <f>IF(E13="","",+MIN(AL8:AL16))</f>
        <v/>
      </c>
      <c r="AM18" s="185" t="str">
        <f>IF(E13="","",+MAX(AM8:AM16))</f>
        <v/>
      </c>
      <c r="AN18" s="186"/>
      <c r="AO18" s="488"/>
      <c r="AP18" s="488"/>
      <c r="AQ18" s="57" t="s">
        <v>130</v>
      </c>
      <c r="AR18" s="63" t="str">
        <f>IF(AV11="","",IF(AND($AV$11&gt;=36,OR(T6="N.L.",T6&lt;=40),T8&gt;=11),"Cumple","No cumple"))</f>
        <v/>
      </c>
      <c r="AS18" s="100" t="str">
        <f t="shared" si="6"/>
        <v/>
      </c>
      <c r="AT18" s="134"/>
      <c r="AU18" s="134"/>
      <c r="AV18" s="155"/>
      <c r="AW18" s="138"/>
      <c r="AX18" s="153"/>
      <c r="AY18" s="154"/>
      <c r="AZ18" s="155"/>
      <c r="BA18" s="138"/>
      <c r="BB18" s="153"/>
      <c r="BC18" s="154"/>
      <c r="BD18" s="155"/>
      <c r="BE18" s="138"/>
      <c r="BF18" s="153"/>
      <c r="BG18" s="154"/>
      <c r="BH18" s="125"/>
      <c r="BI18" s="124"/>
      <c r="BJ18" s="124"/>
      <c r="BK18" s="124"/>
      <c r="BL18" s="124"/>
      <c r="BM18" s="125"/>
      <c r="BN18" s="126" t="s">
        <v>131</v>
      </c>
      <c r="BO18" s="126" t="s">
        <v>132</v>
      </c>
    </row>
    <row r="19" spans="1:67" ht="15.95" customHeight="1">
      <c r="A19" s="90"/>
      <c r="B19" s="156" t="s">
        <v>62</v>
      </c>
      <c r="C19" s="157">
        <v>25</v>
      </c>
      <c r="D19" s="158"/>
      <c r="E19" s="159" t="str">
        <f t="shared" si="8"/>
        <v/>
      </c>
      <c r="F19" s="160" t="str">
        <f t="shared" si="9"/>
        <v/>
      </c>
      <c r="G19" s="8"/>
      <c r="H19" s="8"/>
      <c r="I19" s="162"/>
      <c r="J19" s="178"/>
      <c r="K19" s="178"/>
      <c r="L19" s="178"/>
      <c r="M19" s="178"/>
      <c r="N19" s="178"/>
      <c r="O19" s="179"/>
      <c r="P19" s="48"/>
      <c r="Q19" s="8"/>
      <c r="R19" s="161"/>
      <c r="S19" s="187"/>
      <c r="T19" s="187" t="s">
        <v>133</v>
      </c>
      <c r="U19" s="187"/>
      <c r="W19" s="188"/>
      <c r="X19" s="45" t="s">
        <v>134</v>
      </c>
      <c r="Y19" s="46" t="s">
        <v>135</v>
      </c>
      <c r="Z19" s="167" t="s">
        <v>99</v>
      </c>
      <c r="AA19" s="167" t="s">
        <v>100</v>
      </c>
      <c r="AB19" s="9" t="s">
        <v>136</v>
      </c>
      <c r="AC19" s="70"/>
      <c r="AD19" s="182"/>
      <c r="AE19" s="189" t="s">
        <v>137</v>
      </c>
      <c r="AF19" s="489" t="str">
        <f>IF(AD10="","",IF(AND(N29&gt;=5,N29&lt;=12,AD10="Limo"),"Fino limoso",IF(AND(N29&gt;=5,N29&lt;=12,AD10="Arcilla"),"Fino Arcilloso",IF(AND(N29&gt;=5,N29&lt;=12,AD10="Arcilla limosa"),"Fino Arcillo limoso",IF(N29&gt;12,"mayor a 12","menor a 5")))))</f>
        <v/>
      </c>
      <c r="AG19" s="490"/>
      <c r="AH19" s="190" t="s">
        <v>138</v>
      </c>
      <c r="AI19" s="191" t="s">
        <v>139</v>
      </c>
      <c r="AJ19" s="192" t="s">
        <v>138</v>
      </c>
      <c r="AK19" s="191" t="s">
        <v>139</v>
      </c>
      <c r="AL19" s="192" t="s">
        <v>138</v>
      </c>
      <c r="AM19" s="191" t="s">
        <v>139</v>
      </c>
      <c r="AN19" s="133"/>
      <c r="AO19" s="133"/>
      <c r="AP19" s="133"/>
      <c r="AQ19" s="57" t="s">
        <v>140</v>
      </c>
      <c r="AR19" s="63" t="str">
        <f>IF(T6="","",IF(OR(T6="N.L.",T8="N.P."),"No Cumple",IF(AND($AV$11&gt;=36,T6&gt;=41,T8&gt;=11,T8&lt;=(T6-30)),"Cumple","No cumple")))</f>
        <v/>
      </c>
      <c r="AS19" s="100" t="str">
        <f t="shared" si="6"/>
        <v/>
      </c>
      <c r="AT19" s="134"/>
      <c r="AU19" s="134"/>
      <c r="AV19" s="155"/>
      <c r="AW19" s="138"/>
      <c r="AX19" s="153"/>
      <c r="AY19" s="155"/>
      <c r="AZ19" s="155"/>
      <c r="BA19" s="138"/>
      <c r="BB19" s="153"/>
      <c r="BC19" s="155"/>
      <c r="BD19" s="155"/>
      <c r="BE19" s="138"/>
      <c r="BF19" s="153"/>
      <c r="BG19" s="155"/>
      <c r="BH19" s="125"/>
      <c r="BI19" s="124"/>
      <c r="BJ19" s="124"/>
      <c r="BK19" s="124"/>
      <c r="BL19" s="124"/>
      <c r="BM19" s="125"/>
      <c r="BN19" s="126" t="s">
        <v>97</v>
      </c>
      <c r="BO19" s="126" t="s">
        <v>141</v>
      </c>
    </row>
    <row r="20" spans="1:67" ht="15.95" customHeight="1">
      <c r="A20" s="90"/>
      <c r="B20" s="193" t="s">
        <v>74</v>
      </c>
      <c r="C20" s="157">
        <f>0.75*25.4</f>
        <v>19.049999999999997</v>
      </c>
      <c r="D20" s="158"/>
      <c r="E20" s="159" t="str">
        <f t="shared" si="8"/>
        <v/>
      </c>
      <c r="F20" s="160" t="str">
        <f t="shared" si="9"/>
        <v/>
      </c>
      <c r="G20" s="8"/>
      <c r="H20" s="8"/>
      <c r="I20" s="162"/>
      <c r="J20" s="178"/>
      <c r="K20" s="178"/>
      <c r="L20" s="178"/>
      <c r="M20" s="178"/>
      <c r="N20" s="178"/>
      <c r="O20" s="179"/>
      <c r="P20" s="48"/>
      <c r="Q20" s="8"/>
      <c r="R20" s="187"/>
      <c r="S20" s="194"/>
      <c r="T20" s="194"/>
      <c r="U20" s="194"/>
      <c r="W20" s="188"/>
      <c r="X20" s="45" t="s">
        <v>142</v>
      </c>
      <c r="Y20" s="46" t="s">
        <v>143</v>
      </c>
      <c r="Z20" s="167" t="s">
        <v>99</v>
      </c>
      <c r="AA20" s="167" t="s">
        <v>100</v>
      </c>
      <c r="AB20" s="167" t="s">
        <v>144</v>
      </c>
      <c r="AC20" s="70"/>
      <c r="AD20" s="182"/>
      <c r="AE20" s="478" t="s">
        <v>145</v>
      </c>
      <c r="AF20" s="479"/>
      <c r="AG20" s="480"/>
      <c r="AH20" s="195" t="str">
        <f>+IF(AH18="","",VLOOKUP(AH18,$AN$8:$AP$16,3,0))</f>
        <v/>
      </c>
      <c r="AI20" s="196" t="str">
        <f>+IF(AI18="","",IF(AI18=0,0,VLOOKUP(AI18,$AN$8:$AP$16,3,0)))</f>
        <v/>
      </c>
      <c r="AJ20" s="84" t="str">
        <f>+IF(AJ18="","",VLOOKUP(AJ18,$AN$8:$AP$16,3,0))</f>
        <v/>
      </c>
      <c r="AK20" s="197" t="str">
        <f>+IF(AK18="","",IF(AK18=0,0,VLOOKUP(AK18,$AN$8:$AP$16,3,0)))</f>
        <v/>
      </c>
      <c r="AL20" s="84" t="str">
        <f>+IF(AL18="","",VLOOKUP(AL18,$AN$8:$AP$16,3,0))</f>
        <v/>
      </c>
      <c r="AM20" s="196" t="str">
        <f>+IF(AM18="","",IF(AM18=0,0,VLOOKUP(AM18,$AN$8:$AP$16,3,0)))</f>
        <v/>
      </c>
      <c r="AN20" s="20"/>
      <c r="AO20" s="20"/>
      <c r="AP20" s="20"/>
      <c r="AQ20" s="198" t="s">
        <v>146</v>
      </c>
      <c r="AR20" s="199" t="str">
        <f>IF(T6="","",IF(AND(T6="N.L.",T8="N.P."),"No cumple",IF(AND($AV$11&gt;=36,T6&gt;=41,T8&gt;=11,(T8&gt;(T6-30))),"Cumple","No cumple")))</f>
        <v/>
      </c>
      <c r="AS20" s="200" t="str">
        <f t="shared" si="6"/>
        <v/>
      </c>
      <c r="AT20" s="134"/>
      <c r="AU20" s="134"/>
      <c r="AV20" s="155"/>
      <c r="AW20" s="138"/>
      <c r="AX20" s="153"/>
      <c r="AY20" s="155"/>
      <c r="AZ20" s="155"/>
      <c r="BA20" s="138"/>
      <c r="BB20" s="153"/>
      <c r="BC20" s="155"/>
      <c r="BD20" s="155"/>
      <c r="BE20" s="138"/>
      <c r="BF20" s="153"/>
      <c r="BG20" s="155"/>
      <c r="BH20" s="125"/>
      <c r="BI20" s="124"/>
      <c r="BJ20" s="124"/>
      <c r="BK20" s="124"/>
      <c r="BL20" s="124"/>
      <c r="BM20" s="125"/>
      <c r="BN20" s="126" t="s">
        <v>126</v>
      </c>
      <c r="BO20" s="126" t="s">
        <v>147</v>
      </c>
    </row>
    <row r="21" spans="1:67" ht="15.95" customHeight="1">
      <c r="A21" s="90"/>
      <c r="B21" s="193" t="s">
        <v>81</v>
      </c>
      <c r="C21" s="157">
        <v>9.5</v>
      </c>
      <c r="D21" s="158"/>
      <c r="E21" s="159" t="str">
        <f t="shared" si="8"/>
        <v/>
      </c>
      <c r="F21" s="160" t="str">
        <f t="shared" si="9"/>
        <v/>
      </c>
      <c r="G21" s="8"/>
      <c r="H21" s="8"/>
      <c r="I21" s="162"/>
      <c r="J21" s="201"/>
      <c r="K21" s="201"/>
      <c r="L21" s="201"/>
      <c r="M21" s="202"/>
      <c r="N21" s="202"/>
      <c r="O21" s="143"/>
      <c r="P21" s="48"/>
      <c r="Q21" s="8"/>
      <c r="R21" s="194"/>
      <c r="S21" s="203"/>
      <c r="T21" s="203"/>
      <c r="U21" s="203"/>
      <c r="V21" s="204"/>
      <c r="W21" s="205"/>
      <c r="X21" s="45" t="s">
        <v>148</v>
      </c>
      <c r="Y21" s="46" t="s">
        <v>149</v>
      </c>
      <c r="Z21" s="9" t="s">
        <v>99</v>
      </c>
      <c r="AA21" s="9" t="s">
        <v>100</v>
      </c>
      <c r="AB21" s="46" t="s">
        <v>150</v>
      </c>
      <c r="AC21" s="181"/>
      <c r="AD21" s="206"/>
      <c r="AE21" s="207" t="str">
        <f>IF(AE10="","",IF(AND(AE10="Arena",AG18="W",AF19="menor a 5"),"SW",IF(AND(AE10="Arena",AG18="P",AF19="menor a 5"),"SP",IF(AND(AE10="Grava",AF18="W",AF19="menor a 5"),"GW",IF(AND(AE10="Grava",AF18="P",AF19="menor a 5"),"GP",IF(AND(AE10="Arena",AG18="W",AF19="Fino limoso"),"SW-SM",IF(AND(AE10="Arena",AG18="P",AF19="Fino limoso"),"SP-SM",IF(AND(AE10="Grava",AF18="W",AF19="Fino limoso"),"GW-GM",IF(AND(AE10="Grava",AF18="P",AF19="Fino limoso"),"GP-GM",IF(AND(AE10="Arena",AG18="W",OR(AF19="Fino arcilloso",AF19="Fino arcillo limoso")),"SW-SC",IF(AND(AE10="Arena",AG18="P",,OR(AF19="Fino arcilloso",AF19="Fino arcillo limoso")),"SP-SC",IF(AND(AE10="Grava",AF18="W",OR(AF19="Fino arcilloso",AF19="Fino arcillo limoso")),"GW-GC",IF(AND(AE10="Grava",AF18="P",OR(AF19="Fino arcilloso",AF19="Fino arcillo limoso")),"GP-GC",IF(AND(AE10="Arena",AF19="Mayor a 12",AD10="Limo"),"SM",IF(AND(AE10="Arena",AF19="Mayor a 12",AD10="Arcilla"),"SC",IF(AND(AE10="Arena",AF19="Mayor a 12",AD10="Arcilla limosa"),"SC-SM",IF(AND(AE10="Grava",AF19="Mayor a 12",AD10="Limo"),"GM",IF(AND(AE10="Grava",AF19="Mayor a 12",AD10="Arcilla"),"GC",IF(AND(AE10="Grava",AF19="Mayor a 12",AD10="Arcilla limosa"),"GC-GM")))))))))))))))))))</f>
        <v/>
      </c>
      <c r="AF21" s="208" t="str">
        <f>IF(AE21="","",IF(AND(T12&gt;=0.75,AD8="Suelo Grueso"),VLOOKUP(AE21,X15:Y32,2,0),CONCATENATE(VLOOKUP(AE21,X15:Y32,2,0)," ","con finos orgánicos")))</f>
        <v/>
      </c>
      <c r="AG21" s="209"/>
      <c r="AH21" s="491" t="s">
        <v>151</v>
      </c>
      <c r="AI21" s="492"/>
      <c r="AJ21" s="491" t="s">
        <v>152</v>
      </c>
      <c r="AK21" s="492"/>
      <c r="AL21" s="491" t="s">
        <v>153</v>
      </c>
      <c r="AM21" s="492"/>
      <c r="AN21" s="20"/>
      <c r="AO21" s="20"/>
      <c r="AP21" s="20"/>
      <c r="AQ21" s="478" t="s">
        <v>154</v>
      </c>
      <c r="AR21" s="479"/>
      <c r="AS21" s="480"/>
      <c r="AT21" s="134"/>
      <c r="AU21" s="134"/>
      <c r="AV21" s="155"/>
      <c r="AW21" s="138"/>
      <c r="AX21" s="210"/>
      <c r="AY21" s="155"/>
      <c r="AZ21" s="155"/>
      <c r="BA21" s="138"/>
      <c r="BB21" s="210"/>
      <c r="BC21" s="155"/>
      <c r="BD21" s="155"/>
      <c r="BE21" s="138"/>
      <c r="BF21" s="210"/>
      <c r="BG21" s="155"/>
      <c r="BH21" s="125"/>
      <c r="BI21" s="477"/>
      <c r="BJ21" s="477"/>
      <c r="BK21" s="477"/>
      <c r="BL21" s="124"/>
      <c r="BM21" s="125"/>
      <c r="BN21" s="126" t="s">
        <v>155</v>
      </c>
      <c r="BO21" s="126" t="s">
        <v>147</v>
      </c>
    </row>
    <row r="22" spans="1:67" ht="15.95" customHeight="1">
      <c r="A22" s="90"/>
      <c r="B22" s="156" t="s">
        <v>46</v>
      </c>
      <c r="C22" s="211">
        <v>4.75</v>
      </c>
      <c r="D22" s="158"/>
      <c r="E22" s="159" t="str">
        <f t="shared" si="8"/>
        <v/>
      </c>
      <c r="F22" s="160" t="str">
        <f t="shared" si="9"/>
        <v/>
      </c>
      <c r="G22" s="8"/>
      <c r="H22" s="8"/>
      <c r="I22" s="106"/>
      <c r="J22" s="106"/>
      <c r="K22" s="106"/>
      <c r="L22" s="106"/>
      <c r="M22" s="106"/>
      <c r="N22" s="106"/>
      <c r="O22" s="106"/>
      <c r="P22" s="48"/>
      <c r="Q22" s="8"/>
      <c r="R22" s="203"/>
      <c r="S22" s="194"/>
      <c r="T22" s="194"/>
      <c r="U22" s="194"/>
      <c r="W22" s="205"/>
      <c r="X22" s="45" t="s">
        <v>156</v>
      </c>
      <c r="Y22" s="46" t="s">
        <v>157</v>
      </c>
      <c r="Z22" s="9" t="s">
        <v>99</v>
      </c>
      <c r="AA22" s="9" t="s">
        <v>100</v>
      </c>
      <c r="AB22" s="46" t="s">
        <v>158</v>
      </c>
      <c r="AC22" s="181"/>
      <c r="AD22" s="206"/>
      <c r="AE22" s="212"/>
      <c r="AF22" s="213"/>
      <c r="AG22" s="20"/>
      <c r="AH22" s="485" t="str">
        <f>IF(OR(AN8=60,AN9=60,AN10=60,AN11=60,AN12=60,AN13=60,AN14=60,AN15=60,AN16=60),VLOOKUP(60,AN8:AP16,3,0),"")</f>
        <v/>
      </c>
      <c r="AI22" s="486"/>
      <c r="AJ22" s="485" t="str">
        <f>IF(OR(AN8=30,AN9=60,AN10=30,AN11=30,AN12=30,AN13=30,AN14=30,AN15=30,AN16=30),VLOOKUP(30,AN8:AP16,3,0),"")</f>
        <v/>
      </c>
      <c r="AK22" s="486"/>
      <c r="AL22" s="485" t="str">
        <f>IF(OR(AN8=10,AN9=10,AN10=10,AN11=10,AN12=10,AN13=10,AN14=10,AN15=10,AN16=10),VLOOKUP(10,AN8:AP16,3,0),"")</f>
        <v/>
      </c>
      <c r="AM22" s="486"/>
      <c r="AN22" s="20"/>
      <c r="AO22" s="20"/>
      <c r="AP22" s="20"/>
      <c r="AQ22" s="485" t="str">
        <f>IF(OR(AND(AV11="",T6="",T8=""),E34=AQ14,E34=AQ15),"",IF(AND(T6="N.L.",T8="N.P.",AV11&gt;15),0,IF(AND(T6="N.L.",T8="N.P.",AV11&lt;=15),ROUND(($AV$11-35)*(0.2+(0.005*(-40)))+(0.01*($AV$11-15)*(-10)),0),IF(($AV$11-35)*(0.2+(0.005*(T6-40)))+(0.01*($AV$11-15)*(T8-10))&lt;=0,0,IF(($AV$11-35)*(0.2+(0.005*(T6-40)))+(0.01*($AV$11-15)*(T8-10))&gt;0,ROUND(($AV$11-35)*(0.2+(0.005*(T6-40)))+(0.01*($AV$11-15)*(T8-10)),0))))))</f>
        <v/>
      </c>
      <c r="AR22" s="487"/>
      <c r="AS22" s="486"/>
      <c r="AT22" s="134"/>
      <c r="AU22" s="134"/>
      <c r="AV22" s="125"/>
      <c r="AW22" s="477"/>
      <c r="AX22" s="477"/>
      <c r="AY22" s="477"/>
      <c r="AZ22" s="477"/>
      <c r="BA22" s="477"/>
      <c r="BB22" s="477"/>
      <c r="BC22" s="477"/>
      <c r="BD22" s="477"/>
      <c r="BE22" s="477"/>
      <c r="BF22" s="477"/>
      <c r="BG22" s="477"/>
      <c r="BH22" s="477"/>
      <c r="BI22" s="477"/>
      <c r="BJ22" s="477"/>
      <c r="BK22" s="477"/>
      <c r="BL22" s="124"/>
      <c r="BM22" s="125"/>
      <c r="BN22" s="126" t="s">
        <v>159</v>
      </c>
      <c r="BO22" s="126" t="s">
        <v>160</v>
      </c>
    </row>
    <row r="23" spans="1:67" ht="15.95" customHeight="1">
      <c r="A23" s="90"/>
      <c r="B23" s="156" t="s">
        <v>57</v>
      </c>
      <c r="C23" s="211">
        <v>2</v>
      </c>
      <c r="D23" s="158"/>
      <c r="E23" s="159" t="str">
        <f t="shared" si="8"/>
        <v/>
      </c>
      <c r="F23" s="160" t="str">
        <f t="shared" si="9"/>
        <v/>
      </c>
      <c r="G23" s="8"/>
      <c r="H23" s="8"/>
      <c r="I23" s="106"/>
      <c r="J23" s="106"/>
      <c r="K23" s="106"/>
      <c r="L23" s="106"/>
      <c r="M23" s="106"/>
      <c r="N23" s="106"/>
      <c r="O23" s="106"/>
      <c r="P23" s="48"/>
      <c r="Q23" s="8"/>
      <c r="R23" s="194"/>
      <c r="S23" s="8"/>
      <c r="T23" s="8"/>
      <c r="U23" s="8"/>
      <c r="W23" s="214"/>
      <c r="X23" s="45" t="s">
        <v>161</v>
      </c>
      <c r="Y23" s="46" t="s">
        <v>162</v>
      </c>
      <c r="Z23" s="9" t="s">
        <v>99</v>
      </c>
      <c r="AA23" s="9" t="s">
        <v>100</v>
      </c>
      <c r="AB23" s="46" t="s">
        <v>163</v>
      </c>
      <c r="AC23" s="181"/>
      <c r="AD23" s="206"/>
      <c r="AE23" s="212"/>
      <c r="AF23" s="213"/>
      <c r="AG23" s="20"/>
      <c r="AH23" s="215"/>
      <c r="AI23" s="215"/>
      <c r="AJ23" s="215"/>
      <c r="AK23" s="215"/>
      <c r="AL23" s="215"/>
      <c r="AM23" s="215"/>
      <c r="AN23" s="215"/>
      <c r="AO23" s="215"/>
      <c r="AP23" s="215"/>
      <c r="AQ23" s="478" t="s">
        <v>164</v>
      </c>
      <c r="AR23" s="479"/>
      <c r="AS23" s="480"/>
      <c r="AT23" s="134"/>
      <c r="AU23" s="13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N23" s="126" t="s">
        <v>165</v>
      </c>
      <c r="BO23" s="126" t="s">
        <v>166</v>
      </c>
    </row>
    <row r="24" spans="1:67" ht="15.95" customHeight="1">
      <c r="A24" s="90"/>
      <c r="B24" s="156" t="s">
        <v>64</v>
      </c>
      <c r="C24" s="211">
        <v>0.42499999999999999</v>
      </c>
      <c r="D24" s="158"/>
      <c r="E24" s="159" t="str">
        <f t="shared" si="8"/>
        <v/>
      </c>
      <c r="F24" s="160" t="str">
        <f t="shared" si="9"/>
        <v/>
      </c>
      <c r="G24" s="8"/>
      <c r="H24" s="8"/>
      <c r="I24" s="106"/>
      <c r="J24" s="216"/>
      <c r="K24" s="106"/>
      <c r="L24" s="106"/>
      <c r="M24" s="106"/>
      <c r="N24" s="106"/>
      <c r="O24" s="106"/>
      <c r="P24" s="217"/>
      <c r="Q24" s="8"/>
      <c r="R24" s="8"/>
      <c r="S24" s="8"/>
      <c r="T24" s="8"/>
      <c r="U24" s="8"/>
      <c r="W24" s="218"/>
      <c r="X24" s="45" t="s">
        <v>131</v>
      </c>
      <c r="Y24" s="46" t="s">
        <v>167</v>
      </c>
      <c r="Z24" s="9" t="s">
        <v>99</v>
      </c>
      <c r="AA24" s="47" t="s">
        <v>168</v>
      </c>
      <c r="AB24" s="46" t="s">
        <v>169</v>
      </c>
      <c r="AC24" s="181"/>
      <c r="AD24" s="206"/>
      <c r="AE24" s="219"/>
      <c r="AF24" s="213"/>
      <c r="AG24" s="215"/>
      <c r="AH24" s="20"/>
      <c r="AI24" s="20"/>
      <c r="AJ24" s="20"/>
      <c r="AK24" s="20"/>
      <c r="AL24" s="20"/>
      <c r="AM24" s="20"/>
      <c r="AN24" s="20"/>
      <c r="AO24" s="20"/>
      <c r="AP24" s="20"/>
      <c r="AQ24" s="481" t="str">
        <f>IF(OR(AND(AV11="",T8=""),E34=AQ9,E34=AQ10,E34=AQ11,E34=AQ12,E34=AQ13,E34=AQ16,E34=AQ17,E34=AQ18,E34=AQ19,E34=AQ20),"",IF((0.01*($AV$11-15)*(T8-10))&lt;0,0,ROUND(0.01*($AV$11-15)*(T8-10),0)))</f>
        <v/>
      </c>
      <c r="AR24" s="482"/>
      <c r="AS24" s="483"/>
      <c r="AT24" s="134"/>
      <c r="AU24" s="13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5"/>
      <c r="BN24" s="126" t="s">
        <v>58</v>
      </c>
      <c r="BO24" s="126" t="s">
        <v>170</v>
      </c>
    </row>
    <row r="25" spans="1:67" ht="15.95" customHeight="1">
      <c r="A25" s="90"/>
      <c r="B25" s="156" t="s">
        <v>76</v>
      </c>
      <c r="C25" s="220">
        <v>7.4999999999999997E-2</v>
      </c>
      <c r="D25" s="158"/>
      <c r="E25" s="159" t="str">
        <f t="shared" si="8"/>
        <v/>
      </c>
      <c r="F25" s="157" t="str">
        <f t="shared" si="9"/>
        <v/>
      </c>
      <c r="G25" s="8"/>
      <c r="H25" s="8"/>
      <c r="I25" s="106"/>
      <c r="J25" s="106"/>
      <c r="K25" s="106"/>
      <c r="L25" s="106"/>
      <c r="M25" s="106"/>
      <c r="N25" s="106"/>
      <c r="O25" s="106"/>
      <c r="P25" s="48"/>
      <c r="Q25" s="8"/>
      <c r="R25" s="8"/>
      <c r="W25" s="221"/>
      <c r="X25" s="45" t="s">
        <v>125</v>
      </c>
      <c r="Y25" s="46" t="s">
        <v>171</v>
      </c>
      <c r="Z25" s="9" t="s">
        <v>99</v>
      </c>
      <c r="AA25" s="47" t="s">
        <v>168</v>
      </c>
      <c r="AB25" s="46" t="s">
        <v>172</v>
      </c>
      <c r="AC25" s="181"/>
      <c r="AD25" s="206"/>
      <c r="AF25" s="213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T25" s="222"/>
      <c r="AU25" s="222"/>
      <c r="AV25" s="222"/>
      <c r="AW25" s="484"/>
      <c r="AX25" s="484"/>
      <c r="AY25" s="484"/>
      <c r="AZ25" s="484"/>
      <c r="BA25" s="484"/>
      <c r="BB25" s="484"/>
      <c r="BC25" s="484"/>
      <c r="BD25" s="484"/>
      <c r="BE25" s="484"/>
      <c r="BF25" s="484"/>
      <c r="BG25" s="484"/>
      <c r="BH25" s="484"/>
      <c r="BI25" s="477"/>
      <c r="BJ25" s="477"/>
      <c r="BK25" s="477"/>
      <c r="BL25" s="124"/>
      <c r="BM25" s="125"/>
      <c r="BN25" s="126" t="s">
        <v>23</v>
      </c>
      <c r="BO25" s="126" t="s">
        <v>173</v>
      </c>
    </row>
    <row r="26" spans="1:67" ht="15.95" customHeight="1">
      <c r="A26" s="90"/>
      <c r="B26" s="43" t="s">
        <v>123</v>
      </c>
      <c r="C26" s="220"/>
      <c r="D26" s="158"/>
      <c r="E26" s="159" t="str">
        <f t="shared" si="8"/>
        <v/>
      </c>
      <c r="F26" s="223"/>
      <c r="G26" s="8"/>
      <c r="H26" s="8"/>
      <c r="I26" s="106"/>
      <c r="J26" s="106"/>
      <c r="K26" s="106"/>
      <c r="L26" s="106"/>
      <c r="M26" s="106"/>
      <c r="N26" s="106"/>
      <c r="O26" s="106"/>
      <c r="P26" s="48"/>
      <c r="Q26" s="224"/>
      <c r="R26" s="225"/>
      <c r="S26" s="225"/>
      <c r="T26" s="225"/>
      <c r="X26" s="45" t="s">
        <v>174</v>
      </c>
      <c r="Y26" s="46" t="s">
        <v>175</v>
      </c>
      <c r="Z26" s="9" t="s">
        <v>99</v>
      </c>
      <c r="AA26" s="47" t="s">
        <v>168</v>
      </c>
      <c r="AB26" s="46" t="s">
        <v>176</v>
      </c>
      <c r="AC26" s="181"/>
      <c r="AD26" s="206"/>
      <c r="AE26" s="212"/>
      <c r="AF26" s="213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T26" s="226"/>
      <c r="AU26" s="227"/>
      <c r="AV26" s="227"/>
      <c r="AW26" s="226"/>
      <c r="AX26" s="226"/>
      <c r="AY26" s="227"/>
      <c r="AZ26" s="227"/>
      <c r="BA26" s="228"/>
      <c r="BB26" s="229"/>
      <c r="BC26" s="477"/>
      <c r="BD26" s="477"/>
      <c r="BE26" s="477"/>
      <c r="BF26" s="477"/>
      <c r="BG26" s="477"/>
      <c r="BH26" s="477"/>
      <c r="BI26" s="477"/>
      <c r="BJ26" s="477"/>
      <c r="BK26" s="477"/>
      <c r="BL26" s="124"/>
      <c r="BM26" s="125"/>
      <c r="BN26" s="126" t="s">
        <v>68</v>
      </c>
      <c r="BO26" s="126" t="s">
        <v>177</v>
      </c>
    </row>
    <row r="27" spans="1:67" ht="15.95" customHeight="1">
      <c r="A27" s="90"/>
      <c r="B27" s="452" t="s">
        <v>178</v>
      </c>
      <c r="C27" s="453"/>
      <c r="D27" s="454" t="str">
        <f>IF(OR(E13="",D26=""),"",SUM(D17:D26))</f>
        <v/>
      </c>
      <c r="E27" s="454"/>
      <c r="F27" s="230" t="str">
        <f>+IF(D27="","","g")</f>
        <v/>
      </c>
      <c r="G27" s="8"/>
      <c r="H27" s="8"/>
      <c r="I27" s="106"/>
      <c r="J27" s="106"/>
      <c r="K27" s="106"/>
      <c r="L27" s="106"/>
      <c r="M27" s="106"/>
      <c r="N27" s="106"/>
      <c r="O27" s="106"/>
      <c r="P27" s="48"/>
      <c r="Q27" s="8"/>
      <c r="V27" s="231"/>
      <c r="X27" s="45" t="s">
        <v>94</v>
      </c>
      <c r="Y27" s="46" t="s">
        <v>179</v>
      </c>
      <c r="Z27" s="9" t="s">
        <v>99</v>
      </c>
      <c r="AA27" s="47" t="s">
        <v>168</v>
      </c>
      <c r="AB27" s="9" t="s">
        <v>180</v>
      </c>
      <c r="AC27" s="181"/>
      <c r="AD27" s="206"/>
      <c r="AE27" s="212"/>
      <c r="AF27" s="213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T27" s="226"/>
      <c r="AU27" s="227"/>
      <c r="AV27" s="227"/>
      <c r="AW27" s="226"/>
      <c r="AX27" s="226"/>
      <c r="AY27" s="227"/>
      <c r="AZ27" s="227"/>
      <c r="BA27" s="232"/>
      <c r="BB27" s="229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6" t="s">
        <v>50</v>
      </c>
      <c r="BO27" s="126" t="s">
        <v>181</v>
      </c>
    </row>
    <row r="28" spans="1:67" ht="15.95" customHeight="1">
      <c r="A28" s="90"/>
      <c r="B28" s="455" t="str">
        <f>+IF(V7="No cumple",CONCATENATE(V7," con la ",V6),"")</f>
        <v/>
      </c>
      <c r="C28" s="455"/>
      <c r="D28" s="455"/>
      <c r="E28" s="455"/>
      <c r="F28" s="455"/>
      <c r="G28" s="8"/>
      <c r="H28" s="8"/>
      <c r="I28" s="106"/>
      <c r="J28" s="106"/>
      <c r="K28" s="106"/>
      <c r="L28" s="106"/>
      <c r="M28" s="106"/>
      <c r="N28" s="106"/>
      <c r="O28" s="106"/>
      <c r="P28" s="48"/>
      <c r="Q28" s="8"/>
      <c r="V28" s="233"/>
      <c r="X28" s="45" t="s">
        <v>182</v>
      </c>
      <c r="Y28" s="46" t="s">
        <v>183</v>
      </c>
      <c r="Z28" s="9" t="s">
        <v>99</v>
      </c>
      <c r="AA28" s="47" t="s">
        <v>168</v>
      </c>
      <c r="AB28" s="9" t="s">
        <v>184</v>
      </c>
      <c r="AC28" s="181"/>
      <c r="AD28" s="456"/>
      <c r="AE28" s="212"/>
      <c r="AF28" s="213"/>
      <c r="AG28" s="20"/>
      <c r="AH28" s="234"/>
      <c r="AI28" s="234"/>
      <c r="AJ28" s="234"/>
      <c r="AK28" s="234"/>
      <c r="AL28" s="234"/>
      <c r="AM28" s="234"/>
      <c r="AN28" s="234"/>
      <c r="AO28" s="234"/>
      <c r="AP28" s="234"/>
      <c r="AT28" s="226"/>
      <c r="AU28" s="227"/>
      <c r="AV28" s="227"/>
      <c r="AW28" s="226"/>
      <c r="AX28" s="226"/>
      <c r="AY28" s="227"/>
      <c r="AZ28" s="232"/>
      <c r="BA28" s="227"/>
      <c r="BB28" s="229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6" t="s">
        <v>7</v>
      </c>
      <c r="BO28" s="126" t="s">
        <v>185</v>
      </c>
    </row>
    <row r="29" spans="1:67" ht="15.95" customHeight="1">
      <c r="A29" s="90"/>
      <c r="B29" s="457" t="s">
        <v>186</v>
      </c>
      <c r="C29" s="458"/>
      <c r="D29" s="458"/>
      <c r="E29" s="235"/>
      <c r="F29" s="236" t="s">
        <v>187</v>
      </c>
      <c r="G29" s="237"/>
      <c r="H29" s="238" t="str">
        <f>IF(E13="","",SUM(E17:E22))</f>
        <v/>
      </c>
      <c r="I29" s="239" t="str">
        <f>+IF(H29="","","%")</f>
        <v/>
      </c>
      <c r="J29" s="236" t="s">
        <v>188</v>
      </c>
      <c r="K29" s="238" t="str">
        <f>IF(E13="","",SUM(E23:E25))</f>
        <v/>
      </c>
      <c r="L29" s="239" t="str">
        <f>+IF(K29="","","%")</f>
        <v/>
      </c>
      <c r="M29" s="236" t="s">
        <v>189</v>
      </c>
      <c r="N29" s="238" t="str">
        <f>F25</f>
        <v/>
      </c>
      <c r="O29" s="240" t="str">
        <f>+IF(N29="","","%")</f>
        <v/>
      </c>
      <c r="P29" s="48"/>
      <c r="Q29" s="8"/>
      <c r="V29" s="241"/>
      <c r="X29" s="45" t="s">
        <v>190</v>
      </c>
      <c r="Y29" s="46" t="s">
        <v>191</v>
      </c>
      <c r="Z29" s="9" t="s">
        <v>99</v>
      </c>
      <c r="AA29" s="47" t="s">
        <v>168</v>
      </c>
      <c r="AB29" s="167" t="s">
        <v>192</v>
      </c>
      <c r="AC29" s="181"/>
      <c r="AD29" s="456"/>
      <c r="AE29" s="212"/>
      <c r="AF29" s="213"/>
      <c r="AG29" s="234"/>
      <c r="AH29" s="20"/>
      <c r="AI29" s="20"/>
      <c r="AJ29" s="20"/>
      <c r="AK29" s="20"/>
      <c r="AL29" s="20"/>
      <c r="AM29" s="20"/>
      <c r="AN29" s="20"/>
      <c r="AO29" s="20"/>
      <c r="AP29" s="20"/>
      <c r="AT29" s="226"/>
      <c r="AU29" s="232"/>
      <c r="AW29" s="242"/>
      <c r="AX29" s="226"/>
      <c r="AY29" s="232"/>
      <c r="AZ29" s="227"/>
      <c r="BA29" s="227"/>
      <c r="BB29" s="229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6" t="s">
        <v>84</v>
      </c>
      <c r="BO29" s="126" t="s">
        <v>193</v>
      </c>
    </row>
    <row r="30" spans="1:67" ht="15" customHeight="1">
      <c r="A30" s="90"/>
      <c r="B30" s="459" t="s">
        <v>194</v>
      </c>
      <c r="C30" s="460"/>
      <c r="D30" s="460"/>
      <c r="E30" s="460"/>
      <c r="F30" s="460"/>
      <c r="G30" s="460"/>
      <c r="H30" s="460"/>
      <c r="I30" s="461" t="str">
        <f>IF(L7="","",IF(AND(Q31="",Q33=""),"N/A",((Q33/Q31)*100)))</f>
        <v/>
      </c>
      <c r="J30" s="461"/>
      <c r="K30" s="243" t="str">
        <f>IF(OR(I30="",I30="N/A"),"","%")</f>
        <v/>
      </c>
      <c r="L30" s="244"/>
      <c r="M30" s="245"/>
      <c r="N30" s="243"/>
      <c r="O30" s="246"/>
      <c r="P30" s="48"/>
      <c r="Q30" s="462" t="s">
        <v>195</v>
      </c>
      <c r="R30" s="463"/>
      <c r="S30" s="463"/>
      <c r="T30" s="464"/>
      <c r="V30" s="241"/>
      <c r="W30" s="247"/>
      <c r="X30" s="45" t="s">
        <v>105</v>
      </c>
      <c r="Y30" s="46" t="s">
        <v>196</v>
      </c>
      <c r="Z30" s="9" t="s">
        <v>99</v>
      </c>
      <c r="AA30" s="47" t="s">
        <v>168</v>
      </c>
      <c r="AB30" s="9" t="s">
        <v>197</v>
      </c>
      <c r="AC30" s="181"/>
      <c r="AD30" s="456"/>
      <c r="AE30" s="212"/>
      <c r="AF30" s="213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T30" s="226"/>
      <c r="AU30" s="232"/>
      <c r="AW30" s="226"/>
      <c r="AX30" s="226"/>
      <c r="AY30" s="232"/>
      <c r="AZ30" s="229"/>
      <c r="BA30" s="229"/>
      <c r="BB30" s="229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6" t="s">
        <v>198</v>
      </c>
      <c r="BO30" s="126" t="s">
        <v>199</v>
      </c>
    </row>
    <row r="31" spans="1:67" ht="15" customHeight="1">
      <c r="A31" s="90"/>
      <c r="B31" s="248"/>
      <c r="C31" s="248"/>
      <c r="D31" s="248"/>
      <c r="E31" s="39"/>
      <c r="F31" s="249"/>
      <c r="G31" s="47"/>
      <c r="H31" s="250"/>
      <c r="I31" s="39"/>
      <c r="J31" s="249"/>
      <c r="K31" s="250"/>
      <c r="L31" s="39"/>
      <c r="M31" s="249"/>
      <c r="N31" s="250"/>
      <c r="O31" s="251"/>
      <c r="P31" s="48"/>
      <c r="Q31" s="465"/>
      <c r="R31" s="466"/>
      <c r="S31" s="466"/>
      <c r="T31" s="467"/>
      <c r="U31" s="252"/>
      <c r="V31" s="253"/>
      <c r="W31" s="254"/>
      <c r="X31" s="45" t="s">
        <v>200</v>
      </c>
      <c r="Y31" s="46" t="s">
        <v>201</v>
      </c>
      <c r="Z31" s="9" t="s">
        <v>99</v>
      </c>
      <c r="AA31" s="47" t="s">
        <v>168</v>
      </c>
      <c r="AB31" s="9" t="s">
        <v>202</v>
      </c>
      <c r="AC31" s="181"/>
      <c r="AD31" s="456"/>
      <c r="AE31" s="212"/>
      <c r="AF31" s="213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T31" s="226"/>
      <c r="AU31" s="227"/>
      <c r="AV31" s="227"/>
      <c r="AW31" s="226"/>
      <c r="AX31" s="226"/>
      <c r="AY31" s="255"/>
      <c r="AZ31" s="229"/>
      <c r="BA31" s="229"/>
      <c r="BB31" s="229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6" t="s">
        <v>203</v>
      </c>
      <c r="BO31" s="126" t="s">
        <v>204</v>
      </c>
    </row>
    <row r="32" spans="1:67" ht="15" customHeight="1">
      <c r="A32" s="90"/>
      <c r="B32" s="468" t="s">
        <v>205</v>
      </c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70"/>
      <c r="P32" s="48"/>
      <c r="Q32" s="442" t="s">
        <v>206</v>
      </c>
      <c r="R32" s="443"/>
      <c r="S32" s="443"/>
      <c r="T32" s="444"/>
      <c r="V32" s="161"/>
      <c r="X32" s="256" t="s">
        <v>207</v>
      </c>
      <c r="Y32" s="257" t="s">
        <v>208</v>
      </c>
      <c r="Z32" s="258" t="s">
        <v>99</v>
      </c>
      <c r="AA32" s="259" t="s">
        <v>168</v>
      </c>
      <c r="AB32" s="260" t="s">
        <v>209</v>
      </c>
      <c r="AC32" s="261"/>
      <c r="AD32" s="456"/>
      <c r="AE32" s="212"/>
      <c r="AF32" s="213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T32" s="226"/>
      <c r="AU32" s="227"/>
      <c r="AV32" s="227"/>
      <c r="AW32" s="226"/>
      <c r="AX32" s="226"/>
      <c r="AY32" s="227"/>
      <c r="AZ32" s="229"/>
      <c r="BA32" s="229"/>
      <c r="BB32" s="229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6" t="s">
        <v>210</v>
      </c>
      <c r="BO32" s="126" t="s">
        <v>211</v>
      </c>
    </row>
    <row r="33" spans="1:67" ht="15" customHeight="1">
      <c r="A33" s="90"/>
      <c r="B33" s="471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3"/>
      <c r="P33" s="48"/>
      <c r="Q33" s="445"/>
      <c r="R33" s="446"/>
      <c r="S33" s="446"/>
      <c r="T33" s="447"/>
      <c r="AD33" s="456"/>
      <c r="AE33" s="212"/>
      <c r="AF33" s="213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T33" s="226"/>
      <c r="AU33" s="232"/>
      <c r="AV33" s="229"/>
      <c r="AW33" s="226"/>
      <c r="AX33" s="226"/>
      <c r="AY33" s="262"/>
      <c r="AZ33" s="226"/>
      <c r="BA33" s="226"/>
      <c r="BB33" s="226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6" t="s">
        <v>212</v>
      </c>
      <c r="BO33" s="126" t="s">
        <v>213</v>
      </c>
    </row>
    <row r="34" spans="1:67" ht="15" customHeight="1">
      <c r="A34" s="90"/>
      <c r="B34" s="448" t="s">
        <v>214</v>
      </c>
      <c r="C34" s="449"/>
      <c r="D34" s="449"/>
      <c r="E34" s="449" t="str">
        <f>IF(L7="","",VLOOKUP("cumple",AR9:AS20,2,0))</f>
        <v/>
      </c>
      <c r="F34" s="449"/>
      <c r="G34" s="449"/>
      <c r="H34" s="449"/>
      <c r="I34" s="449" t="s">
        <v>215</v>
      </c>
      <c r="J34" s="449"/>
      <c r="K34" s="449"/>
      <c r="L34" s="450" t="str">
        <f>IF(L7="","",IF(OR(E34="A-2-6",E34="A-2-7"),AQ24,AQ22))</f>
        <v/>
      </c>
      <c r="M34" s="450"/>
      <c r="N34" s="450"/>
      <c r="O34" s="451"/>
      <c r="P34" s="263"/>
      <c r="Q34" s="161"/>
      <c r="AD34" s="456"/>
      <c r="AE34" s="212"/>
      <c r="AF34" s="213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T34" s="226"/>
      <c r="AU34" s="232"/>
      <c r="AV34" s="229"/>
      <c r="AW34" s="226"/>
      <c r="AX34" s="226"/>
      <c r="AY34" s="262"/>
      <c r="AZ34" s="226"/>
      <c r="BA34" s="226"/>
      <c r="BB34" s="226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6" t="s">
        <v>216</v>
      </c>
      <c r="BO34" s="126" t="s">
        <v>217</v>
      </c>
    </row>
    <row r="35" spans="1:67" ht="15" customHeight="1">
      <c r="A35" s="90"/>
      <c r="B35" s="471" t="s">
        <v>218</v>
      </c>
      <c r="C35" s="474"/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5"/>
      <c r="P35" s="264"/>
      <c r="Q35" s="161"/>
      <c r="V35" s="161"/>
      <c r="W35" s="161"/>
      <c r="X35" s="265"/>
      <c r="AD35" s="456"/>
      <c r="AE35" s="212"/>
      <c r="AF35" s="213"/>
      <c r="AG35" s="20"/>
      <c r="AT35" s="226"/>
      <c r="AU35" s="232"/>
      <c r="AV35" s="229"/>
      <c r="AW35" s="226"/>
      <c r="AX35" s="226"/>
      <c r="AY35" s="266"/>
      <c r="AZ35" s="226"/>
      <c r="BA35" s="226"/>
      <c r="BB35" s="226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6" t="s">
        <v>219</v>
      </c>
      <c r="BO35" s="126" t="s">
        <v>217</v>
      </c>
    </row>
    <row r="36" spans="1:67" ht="15" customHeight="1">
      <c r="A36" s="90"/>
      <c r="B36" s="476"/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4"/>
      <c r="O36" s="475"/>
      <c r="P36" s="264"/>
      <c r="Q36" s="161"/>
      <c r="V36" s="161"/>
      <c r="W36" s="267"/>
      <c r="X36" s="265"/>
      <c r="AE36" s="268"/>
      <c r="AF36" s="269"/>
      <c r="AS36" s="270"/>
      <c r="AT36" s="226"/>
      <c r="AU36" s="227"/>
      <c r="AV36" s="229"/>
      <c r="AW36" s="226"/>
      <c r="AX36" s="226"/>
      <c r="AY36" s="266"/>
      <c r="AZ36" s="226"/>
      <c r="BA36" s="226"/>
      <c r="BB36" s="226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6" t="s">
        <v>220</v>
      </c>
      <c r="BO36" s="126" t="s">
        <v>221</v>
      </c>
    </row>
    <row r="37" spans="1:67" ht="15" customHeight="1">
      <c r="A37" s="90"/>
      <c r="B37" s="435" t="str">
        <f>IF(L7="","",IF(AD8="Suelo fino",AD14,IF(AD8="Suelo Grueso",AE21,"Revisar")))</f>
        <v/>
      </c>
      <c r="C37" s="436"/>
      <c r="D37" s="436"/>
      <c r="E37" s="436"/>
      <c r="F37" s="436"/>
      <c r="G37" s="172"/>
      <c r="H37" s="437" t="str">
        <f>IF(B37="","",IF(AD8="suelo fino",AD15,IF(AD8="suelo Grueso",AF21,"Revisar")))</f>
        <v/>
      </c>
      <c r="I37" s="437"/>
      <c r="J37" s="437"/>
      <c r="K37" s="437"/>
      <c r="L37" s="437"/>
      <c r="M37" s="437"/>
      <c r="N37" s="437"/>
      <c r="O37" s="438"/>
      <c r="P37" s="271"/>
      <c r="Q37" s="161"/>
      <c r="V37" s="272"/>
      <c r="W37" s="273"/>
      <c r="X37" s="231"/>
      <c r="AE37" s="274"/>
      <c r="AF37" s="269"/>
      <c r="AS37" s="270"/>
      <c r="AT37" s="226"/>
      <c r="AU37" s="275"/>
      <c r="AV37" s="229"/>
      <c r="AW37" s="226"/>
      <c r="AX37" s="226"/>
      <c r="AY37" s="226"/>
      <c r="AZ37" s="226"/>
      <c r="BA37" s="226"/>
      <c r="BB37" s="226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6" t="s">
        <v>222</v>
      </c>
      <c r="BO37" s="126" t="s">
        <v>221</v>
      </c>
    </row>
    <row r="38" spans="1:67" ht="15" customHeight="1">
      <c r="A38" s="90"/>
      <c r="B38" s="8"/>
      <c r="C38" s="8"/>
      <c r="D38" s="14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276"/>
      <c r="Q38" s="161"/>
      <c r="V38" s="161"/>
      <c r="W38" s="273"/>
      <c r="X38" s="7"/>
      <c r="AS38" s="270"/>
      <c r="AT38" s="226"/>
      <c r="AU38" s="275"/>
      <c r="AV38" s="229"/>
      <c r="AW38" s="226"/>
      <c r="AX38" s="226"/>
      <c r="AY38" s="226"/>
      <c r="AZ38" s="226"/>
      <c r="BA38" s="226"/>
      <c r="BB38" s="226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6"/>
      <c r="BO38" s="126"/>
    </row>
    <row r="39" spans="1:67" ht="15" customHeight="1">
      <c r="A39" s="90"/>
      <c r="B39" s="439" t="s">
        <v>223</v>
      </c>
      <c r="C39" s="439"/>
      <c r="D39" s="439"/>
      <c r="E39" s="440"/>
      <c r="F39" s="440"/>
      <c r="G39" s="440"/>
      <c r="H39" s="68" t="str">
        <f>+IF(I39="","","al")</f>
        <v/>
      </c>
      <c r="I39" s="441"/>
      <c r="J39" s="441"/>
      <c r="K39" s="277"/>
      <c r="L39" s="277"/>
      <c r="M39" s="277"/>
      <c r="N39" s="277"/>
      <c r="O39" s="277"/>
      <c r="P39" s="278"/>
      <c r="Q39" s="161"/>
      <c r="V39" s="161"/>
      <c r="W39" s="279"/>
      <c r="X39" s="247"/>
      <c r="AS39" s="280"/>
      <c r="AT39" s="226"/>
      <c r="AU39" s="281"/>
      <c r="AV39" s="281"/>
      <c r="AW39" s="226"/>
      <c r="AX39" s="226"/>
      <c r="AY39" s="226"/>
      <c r="AZ39" s="226"/>
      <c r="BA39" s="226"/>
      <c r="BB39" s="226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6" t="s">
        <v>224</v>
      </c>
      <c r="BO39" s="126" t="s">
        <v>225</v>
      </c>
    </row>
    <row r="40" spans="1:67" ht="15" customHeight="1">
      <c r="A40" s="425"/>
      <c r="B40" s="426"/>
      <c r="C40" s="426"/>
      <c r="D40" s="426"/>
      <c r="E40" s="426"/>
      <c r="F40" s="426"/>
      <c r="G40" s="426"/>
      <c r="H40" s="426"/>
      <c r="I40" s="426"/>
      <c r="J40" s="427"/>
      <c r="K40" s="427"/>
      <c r="L40" s="427"/>
      <c r="M40" s="427"/>
      <c r="N40" s="427"/>
      <c r="O40" s="427"/>
      <c r="P40" s="428"/>
      <c r="Q40" s="282"/>
      <c r="V40" s="161"/>
      <c r="W40" s="279"/>
      <c r="X40" s="283"/>
      <c r="AQ40" s="284"/>
      <c r="AR40" s="285"/>
      <c r="AS40" s="280"/>
      <c r="AT40" s="137"/>
      <c r="AU40" s="286"/>
      <c r="AV40" s="287"/>
      <c r="AW40" s="226"/>
      <c r="AX40" s="226"/>
      <c r="AY40" s="226"/>
      <c r="AZ40" s="226"/>
      <c r="BA40" s="226"/>
      <c r="BB40" s="226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6" t="s">
        <v>226</v>
      </c>
      <c r="BO40" s="126" t="s">
        <v>227</v>
      </c>
    </row>
    <row r="41" spans="1:67" ht="15" customHeight="1">
      <c r="A41" s="288"/>
      <c r="B41" s="429" t="s">
        <v>228</v>
      </c>
      <c r="C41" s="429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289"/>
      <c r="Q41" s="290"/>
      <c r="V41" s="161"/>
      <c r="W41" s="291"/>
      <c r="X41" s="283"/>
      <c r="AQ41" s="284"/>
      <c r="AR41" s="285"/>
      <c r="AS41" s="280"/>
      <c r="AT41" s="292"/>
      <c r="AU41" s="431"/>
      <c r="AV41" s="432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6" t="s">
        <v>229</v>
      </c>
      <c r="BO41" s="126" t="s">
        <v>230</v>
      </c>
    </row>
    <row r="42" spans="1:67" ht="15" customHeight="1">
      <c r="A42" s="293"/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294"/>
      <c r="Q42" s="295"/>
      <c r="V42" s="161"/>
      <c r="W42" s="296"/>
      <c r="X42" s="297"/>
      <c r="AQ42" s="284"/>
      <c r="AR42" s="285"/>
      <c r="AS42" s="226"/>
      <c r="AT42" s="292"/>
      <c r="AU42" s="431"/>
      <c r="AV42" s="432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</row>
    <row r="43" spans="1:67" ht="15" customHeight="1">
      <c r="A43" s="293"/>
      <c r="B43" s="433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294"/>
      <c r="Q43" s="161"/>
      <c r="V43" s="161"/>
      <c r="W43" s="161"/>
      <c r="X43" s="297"/>
      <c r="AQ43" s="284"/>
      <c r="AR43" s="285"/>
      <c r="AS43" s="137"/>
      <c r="AT43" s="125"/>
      <c r="AU43" s="266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</row>
    <row r="44" spans="1:67" ht="15" customHeight="1" thickBot="1">
      <c r="A44" s="298"/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299"/>
      <c r="Q44" s="300"/>
      <c r="V44" s="7"/>
      <c r="W44" s="161"/>
      <c r="X44" s="301"/>
      <c r="AQ44" s="284"/>
      <c r="AR44" s="285"/>
      <c r="AS44" s="280"/>
      <c r="AT44" s="125"/>
      <c r="AU44" s="266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</row>
    <row r="45" spans="1:67" ht="15" customHeight="1" thickTop="1" thickBot="1">
      <c r="A45" s="420" t="s">
        <v>231</v>
      </c>
      <c r="B45" s="420"/>
      <c r="C45" s="420"/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300"/>
      <c r="V45" s="7"/>
      <c r="W45" s="267"/>
      <c r="X45" s="302"/>
      <c r="AQ45" s="284"/>
      <c r="AR45" s="285"/>
      <c r="AS45" s="280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</row>
    <row r="46" spans="1:67" ht="15" customHeight="1" thickTop="1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303"/>
      <c r="V46" s="304"/>
      <c r="W46" s="194"/>
      <c r="X46" s="7"/>
      <c r="AQ46" s="284"/>
      <c r="AR46" s="285"/>
      <c r="AS46" s="305"/>
      <c r="AT46" s="125"/>
      <c r="AU46" s="125"/>
      <c r="AV46" s="134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</row>
    <row r="47" spans="1:67" ht="15" customHeight="1">
      <c r="A47" s="422" t="s">
        <v>232</v>
      </c>
      <c r="B47" s="422"/>
      <c r="C47" s="422"/>
      <c r="D47" s="422"/>
      <c r="E47" s="422"/>
      <c r="F47" s="422"/>
      <c r="G47" s="422"/>
      <c r="H47" s="422"/>
      <c r="I47" s="422"/>
      <c r="J47" s="422"/>
      <c r="K47" s="422"/>
      <c r="L47" s="422"/>
      <c r="M47" s="422"/>
      <c r="N47" s="422"/>
      <c r="O47" s="422"/>
      <c r="P47" s="422"/>
      <c r="Q47" s="306"/>
      <c r="V47" s="304"/>
      <c r="W47" s="221"/>
      <c r="X47" s="7"/>
      <c r="AE47" s="9"/>
      <c r="AQ47" s="284"/>
      <c r="AR47" s="285"/>
      <c r="AS47" s="305"/>
      <c r="AT47" s="307"/>
      <c r="AU47" s="125"/>
      <c r="AV47" s="134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</row>
    <row r="48" spans="1:67" ht="15" customHeight="1">
      <c r="A48" s="422"/>
      <c r="B48" s="422"/>
      <c r="C48" s="422"/>
      <c r="D48" s="422"/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422"/>
      <c r="P48" s="422"/>
      <c r="Q48" s="306"/>
      <c r="V48" s="304"/>
      <c r="W48" s="7"/>
      <c r="X48" s="247"/>
      <c r="AQ48" s="284"/>
      <c r="AR48" s="285"/>
      <c r="AS48" s="305"/>
      <c r="AT48" s="307"/>
      <c r="AU48" s="125"/>
      <c r="AV48" s="308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</row>
    <row r="49" spans="1:80" ht="15" customHeight="1">
      <c r="A49" s="423"/>
      <c r="B49" s="423"/>
      <c r="C49" s="423"/>
      <c r="D49" s="423"/>
      <c r="E49" s="423"/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306"/>
      <c r="V49" s="309"/>
      <c r="W49" s="304"/>
      <c r="X49" s="234"/>
      <c r="AQ49" s="284"/>
      <c r="AR49" s="285"/>
      <c r="AS49" s="310"/>
      <c r="AT49" s="307"/>
      <c r="AU49" s="125"/>
      <c r="AV49" s="134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</row>
    <row r="50" spans="1:80" ht="15" customHeight="1">
      <c r="D50" s="3"/>
      <c r="E50" s="3"/>
      <c r="Q50" s="8"/>
      <c r="V50" s="311"/>
      <c r="W50" s="304"/>
      <c r="X50" s="221"/>
      <c r="AQ50" s="284"/>
      <c r="AR50" s="285"/>
      <c r="AS50" s="307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</row>
    <row r="51" spans="1:80" ht="15" customHeight="1">
      <c r="C51" s="7"/>
      <c r="D51" s="234"/>
      <c r="E51" s="234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S51" s="312"/>
      <c r="T51" s="312"/>
      <c r="U51" s="312"/>
      <c r="V51" s="311"/>
      <c r="W51" s="304"/>
      <c r="X51" s="7"/>
      <c r="AH51" s="313"/>
      <c r="AI51" s="313"/>
      <c r="AJ51" s="313"/>
      <c r="AK51" s="313"/>
      <c r="AL51" s="313"/>
      <c r="AM51" s="313"/>
      <c r="AN51" s="313"/>
      <c r="AO51" s="313"/>
      <c r="AP51" s="313"/>
      <c r="AQ51" s="284"/>
      <c r="AR51" s="285"/>
      <c r="AS51" s="307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</row>
    <row r="52" spans="1:80" ht="27" customHeight="1">
      <c r="C52" s="7"/>
      <c r="D52" s="234"/>
      <c r="E52" s="234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312"/>
      <c r="S52" s="7"/>
      <c r="T52" s="7"/>
      <c r="U52" s="7"/>
      <c r="V52" s="311"/>
      <c r="W52" s="309"/>
      <c r="X52" s="314"/>
      <c r="AE52" s="313"/>
      <c r="AF52" s="313"/>
      <c r="AG52" s="313"/>
      <c r="AQ52" s="313"/>
      <c r="AR52" s="313"/>
      <c r="AS52" s="307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424"/>
      <c r="BM52" s="424"/>
      <c r="BN52" s="424"/>
      <c r="BO52" s="424"/>
      <c r="BP52" s="424"/>
      <c r="BQ52" s="424"/>
      <c r="BR52" s="424"/>
      <c r="BS52" s="424"/>
    </row>
    <row r="53" spans="1:80" ht="27" customHeight="1">
      <c r="C53" s="7"/>
      <c r="D53" s="315"/>
      <c r="E53" s="315"/>
      <c r="F53" s="316"/>
      <c r="G53" s="316"/>
      <c r="H53" s="316"/>
      <c r="I53" s="316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317"/>
      <c r="W53" s="311"/>
      <c r="X53" s="318"/>
      <c r="AQ53" s="284"/>
      <c r="AR53" s="285"/>
      <c r="AS53" s="30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424"/>
      <c r="BM53" s="424"/>
      <c r="BN53" s="424"/>
      <c r="BO53" s="424"/>
      <c r="BP53" s="424"/>
      <c r="BQ53" s="424"/>
      <c r="BR53" s="424"/>
      <c r="BS53" s="424"/>
    </row>
    <row r="54" spans="1:80" ht="18.75" customHeight="1">
      <c r="C54" s="7"/>
      <c r="D54" s="315"/>
      <c r="E54" s="315"/>
      <c r="F54" s="316"/>
      <c r="G54" s="316"/>
      <c r="H54" s="316"/>
      <c r="I54" s="316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319"/>
      <c r="W54" s="311"/>
      <c r="X54" s="7"/>
      <c r="AQ54" s="284"/>
      <c r="AR54" s="285"/>
      <c r="AS54" s="30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424"/>
      <c r="BM54" s="424"/>
      <c r="BN54" s="424"/>
      <c r="BO54" s="424"/>
      <c r="BP54" s="424"/>
      <c r="BQ54" s="424"/>
      <c r="BR54" s="424"/>
      <c r="BS54" s="424"/>
      <c r="BT54" s="125"/>
      <c r="BU54" s="125"/>
      <c r="BV54" s="125"/>
    </row>
    <row r="55" spans="1:80" ht="11.25" customHeight="1">
      <c r="C55" s="316"/>
      <c r="D55" s="320"/>
      <c r="E55" s="320"/>
      <c r="F55" s="321"/>
      <c r="G55" s="321"/>
      <c r="H55" s="321"/>
      <c r="I55" s="321"/>
      <c r="J55" s="7"/>
      <c r="K55" s="7"/>
      <c r="L55" s="7"/>
      <c r="M55" s="7"/>
      <c r="N55" s="7"/>
      <c r="O55" s="322"/>
      <c r="P55" s="322"/>
      <c r="Q55" s="7"/>
      <c r="R55" s="7"/>
      <c r="S55" s="7"/>
      <c r="T55" s="7"/>
      <c r="U55" s="7"/>
      <c r="V55" s="323"/>
      <c r="W55" s="311"/>
      <c r="X55" s="309"/>
      <c r="AQ55" s="284"/>
      <c r="AR55" s="285"/>
      <c r="AS55" s="305"/>
      <c r="BJ55" s="125"/>
      <c r="BK55" s="125"/>
      <c r="BL55" s="424"/>
      <c r="BM55" s="424"/>
      <c r="BN55" s="424"/>
      <c r="BO55" s="424"/>
      <c r="BP55" s="424"/>
      <c r="BQ55" s="424"/>
      <c r="BR55" s="424"/>
      <c r="BS55" s="424"/>
      <c r="BT55" s="125"/>
      <c r="BU55" s="125"/>
      <c r="BV55" s="125"/>
    </row>
    <row r="56" spans="1:80" ht="12" customHeight="1">
      <c r="C56" s="316"/>
      <c r="D56" s="324"/>
      <c r="E56" s="324"/>
      <c r="F56" s="325"/>
      <c r="G56" s="325"/>
      <c r="H56" s="325"/>
      <c r="I56" s="325"/>
      <c r="J56" s="326"/>
      <c r="K56" s="326"/>
      <c r="L56" s="326"/>
      <c r="M56" s="326"/>
      <c r="N56" s="326"/>
      <c r="O56" s="326"/>
      <c r="P56" s="326"/>
      <c r="Q56" s="322"/>
      <c r="R56" s="7"/>
      <c r="S56" s="7"/>
      <c r="T56" s="7"/>
      <c r="U56" s="7"/>
      <c r="V56" s="7"/>
      <c r="W56" s="317"/>
      <c r="X56" s="309"/>
      <c r="AQ56" s="284"/>
      <c r="AR56" s="285"/>
      <c r="AS56" s="305"/>
      <c r="AT56" s="327"/>
      <c r="AU56" s="124"/>
      <c r="AV56" s="328"/>
      <c r="AW56" s="125"/>
      <c r="AX56" s="125"/>
      <c r="AY56" s="125"/>
      <c r="BJ56" s="125"/>
      <c r="BK56" s="125"/>
      <c r="BL56" s="424"/>
      <c r="BM56" s="424"/>
      <c r="BN56" s="424"/>
      <c r="BO56" s="424"/>
      <c r="BP56" s="424"/>
      <c r="BQ56" s="424"/>
      <c r="BR56" s="424"/>
      <c r="BS56" s="424"/>
      <c r="BT56" s="125"/>
      <c r="BU56" s="125"/>
      <c r="BV56" s="125"/>
    </row>
    <row r="57" spans="1:80" ht="16.5" customHeight="1">
      <c r="C57" s="321"/>
      <c r="D57" s="324"/>
      <c r="E57" s="324"/>
      <c r="F57" s="325"/>
      <c r="G57" s="325"/>
      <c r="H57" s="325"/>
      <c r="I57" s="325"/>
      <c r="J57" s="326"/>
      <c r="K57" s="326"/>
      <c r="L57" s="326"/>
      <c r="M57" s="326"/>
      <c r="N57" s="326"/>
      <c r="O57" s="326"/>
      <c r="P57" s="326"/>
      <c r="Q57" s="326"/>
      <c r="R57" s="7"/>
      <c r="S57" s="7"/>
      <c r="T57" s="7"/>
      <c r="U57" s="7"/>
      <c r="V57" s="7"/>
      <c r="W57" s="319"/>
      <c r="X57" s="309"/>
      <c r="AQ57" s="284"/>
      <c r="AR57" s="285"/>
      <c r="AS57" s="329"/>
      <c r="AT57" s="328"/>
      <c r="AU57" s="125"/>
      <c r="AV57" s="125"/>
      <c r="AW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</row>
    <row r="58" spans="1:80" ht="10.5" customHeight="1">
      <c r="C58" s="325"/>
      <c r="D58" s="324"/>
      <c r="E58" s="324"/>
      <c r="F58" s="325"/>
      <c r="G58" s="325"/>
      <c r="H58" s="325"/>
      <c r="I58" s="325"/>
      <c r="J58" s="326"/>
      <c r="K58" s="326"/>
      <c r="L58" s="326"/>
      <c r="M58" s="326"/>
      <c r="N58" s="326"/>
      <c r="O58" s="326"/>
      <c r="P58" s="326"/>
      <c r="Q58" s="326"/>
      <c r="R58" s="7"/>
      <c r="S58" s="330"/>
      <c r="T58" s="330"/>
      <c r="U58" s="330"/>
      <c r="V58" s="7"/>
      <c r="W58" s="323"/>
      <c r="X58" s="309"/>
      <c r="AQ58" s="284"/>
      <c r="AR58" s="285"/>
      <c r="AS58" s="331"/>
      <c r="AT58" s="308"/>
      <c r="AU58" s="327"/>
      <c r="AV58" s="331"/>
      <c r="AW58" s="327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</row>
    <row r="59" spans="1:80" ht="23.25" customHeight="1">
      <c r="C59" s="325"/>
      <c r="D59" s="324"/>
      <c r="E59" s="324"/>
      <c r="F59" s="332"/>
      <c r="G59" s="332"/>
      <c r="H59" s="332"/>
      <c r="I59" s="332"/>
      <c r="J59" s="7"/>
      <c r="K59" s="7"/>
      <c r="L59" s="7"/>
      <c r="M59" s="7"/>
      <c r="N59" s="333"/>
      <c r="O59" s="334"/>
      <c r="P59" s="334"/>
      <c r="Q59" s="326"/>
      <c r="R59" s="330"/>
      <c r="S59" s="7"/>
      <c r="T59" s="7"/>
      <c r="U59" s="7"/>
      <c r="V59" s="7"/>
      <c r="W59" s="7"/>
      <c r="X59" s="33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4"/>
      <c r="AR59" s="285"/>
      <c r="AS59" s="327"/>
      <c r="AV59" s="336"/>
    </row>
    <row r="60" spans="1:80" ht="39.75" customHeight="1">
      <c r="C60" s="337"/>
      <c r="D60" s="338"/>
      <c r="E60" s="338"/>
      <c r="F60" s="339"/>
      <c r="G60" s="339"/>
      <c r="H60" s="339"/>
      <c r="I60" s="339"/>
      <c r="J60" s="338"/>
      <c r="K60" s="338"/>
      <c r="L60" s="338"/>
      <c r="M60" s="338"/>
      <c r="N60" s="163"/>
      <c r="O60" s="340"/>
      <c r="P60" s="340"/>
      <c r="Q60" s="341"/>
      <c r="R60" s="7"/>
      <c r="S60" s="7"/>
      <c r="T60" s="7"/>
      <c r="U60" s="7"/>
      <c r="V60" s="342"/>
      <c r="W60" s="7"/>
      <c r="X60" s="212"/>
      <c r="Y60" s="213"/>
      <c r="Z60" s="20"/>
      <c r="AD60" s="3"/>
      <c r="AF60" s="284"/>
      <c r="AG60" s="285"/>
      <c r="AQ60" s="343"/>
      <c r="AR60" s="343"/>
      <c r="AS60" s="124"/>
      <c r="AX60" s="336"/>
    </row>
    <row r="61" spans="1:80" ht="14.1" customHeight="1">
      <c r="C61" s="339"/>
      <c r="D61" s="194"/>
      <c r="E61" s="194"/>
      <c r="F61" s="161"/>
      <c r="G61" s="161"/>
      <c r="H61" s="161"/>
      <c r="I61" s="161"/>
      <c r="J61" s="161"/>
      <c r="K61" s="194"/>
      <c r="L61" s="194"/>
      <c r="M61" s="194"/>
      <c r="N61" s="163"/>
      <c r="O61" s="344"/>
      <c r="P61" s="344"/>
      <c r="Q61" s="340"/>
      <c r="R61" s="7"/>
      <c r="S61" s="7"/>
      <c r="T61" s="7"/>
      <c r="U61" s="7"/>
      <c r="V61" s="345"/>
      <c r="W61" s="7"/>
      <c r="X61" s="346"/>
      <c r="Y61" s="346"/>
      <c r="Z61" s="346"/>
      <c r="AD61" s="3"/>
      <c r="AQ61" s="343"/>
      <c r="AR61" s="343"/>
      <c r="AS61" s="124"/>
      <c r="AV61" s="225"/>
      <c r="BO61" s="347"/>
      <c r="BP61" s="348"/>
      <c r="BQ61" s="348"/>
      <c r="BR61" s="348"/>
      <c r="BS61" s="348"/>
      <c r="BT61" s="348"/>
      <c r="BU61" s="348"/>
      <c r="BV61" s="348"/>
      <c r="BW61" s="348"/>
      <c r="BX61" s="348"/>
      <c r="BY61" s="348"/>
      <c r="BZ61" s="349"/>
      <c r="CA61" s="348"/>
      <c r="CB61" s="348"/>
    </row>
    <row r="62" spans="1:80" ht="14.1" customHeight="1">
      <c r="C62" s="339"/>
      <c r="D62" s="272"/>
      <c r="E62" s="272"/>
      <c r="F62" s="47"/>
      <c r="G62" s="47"/>
      <c r="H62" s="47"/>
      <c r="I62" s="47"/>
      <c r="J62" s="163"/>
      <c r="K62" s="161"/>
      <c r="L62" s="163"/>
      <c r="M62" s="161"/>
      <c r="N62" s="163"/>
      <c r="O62" s="163"/>
      <c r="P62" s="163"/>
      <c r="Q62" s="344"/>
      <c r="R62" s="7"/>
      <c r="S62" s="7"/>
      <c r="T62" s="7"/>
      <c r="U62" s="7"/>
      <c r="V62" s="350"/>
      <c r="W62" s="7"/>
      <c r="X62" s="7"/>
      <c r="Y62" s="7"/>
      <c r="Z62" s="7"/>
      <c r="AA62" s="7"/>
      <c r="AB62" s="7"/>
      <c r="AD62" s="351"/>
      <c r="BO62" s="347"/>
      <c r="BP62" s="348"/>
      <c r="BQ62" s="348"/>
      <c r="BR62" s="348"/>
      <c r="BS62" s="348"/>
      <c r="BT62" s="348"/>
      <c r="BU62" s="348"/>
      <c r="BV62" s="348"/>
      <c r="BW62" s="348"/>
      <c r="BX62" s="348"/>
      <c r="BY62" s="348"/>
      <c r="BZ62" s="349"/>
      <c r="CA62" s="348"/>
      <c r="CB62" s="348"/>
    </row>
    <row r="63" spans="1:80" ht="12" customHeight="1">
      <c r="C63" s="161"/>
      <c r="D63" s="194"/>
      <c r="E63" s="194"/>
      <c r="F63" s="161"/>
      <c r="G63" s="161"/>
      <c r="H63" s="161"/>
      <c r="I63" s="161"/>
      <c r="J63" s="180"/>
      <c r="K63" s="161"/>
      <c r="L63" s="161"/>
      <c r="M63" s="161"/>
      <c r="N63" s="253"/>
      <c r="O63" s="253"/>
      <c r="P63" s="253"/>
      <c r="Q63" s="163"/>
      <c r="R63" s="7"/>
      <c r="S63" s="7"/>
      <c r="T63" s="7"/>
      <c r="U63" s="7"/>
      <c r="V63" s="326"/>
      <c r="W63" s="322"/>
      <c r="X63" s="7"/>
      <c r="Y63" s="7"/>
      <c r="Z63" s="7"/>
      <c r="AA63" s="7"/>
      <c r="AB63" s="7"/>
      <c r="AC63" s="7"/>
      <c r="AD63" s="3"/>
      <c r="AE63" s="352"/>
      <c r="AF63" s="351"/>
      <c r="AH63" s="155"/>
      <c r="AI63" s="155"/>
      <c r="AJ63" s="155"/>
      <c r="AK63" s="155"/>
      <c r="AL63" s="155"/>
      <c r="AM63" s="155"/>
      <c r="AN63" s="155"/>
      <c r="AO63" s="155"/>
      <c r="AP63" s="155"/>
      <c r="BO63" s="353"/>
      <c r="BP63" s="182"/>
      <c r="BQ63" s="182"/>
      <c r="BR63" s="182"/>
      <c r="BS63" s="182"/>
      <c r="BT63" s="182"/>
      <c r="BU63" s="182"/>
      <c r="BV63" s="182"/>
      <c r="BW63" s="182"/>
      <c r="BX63" s="182"/>
      <c r="BY63" s="182"/>
      <c r="BZ63" s="354"/>
      <c r="CA63" s="182"/>
      <c r="CB63" s="182"/>
    </row>
    <row r="64" spans="1:80" ht="18" customHeight="1">
      <c r="C64" s="4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253"/>
      <c r="R64" s="7"/>
      <c r="S64" s="7"/>
      <c r="T64" s="7"/>
      <c r="U64" s="7"/>
      <c r="V64" s="326"/>
      <c r="W64" s="326"/>
      <c r="X64" s="7"/>
      <c r="Y64" s="7"/>
      <c r="Z64" s="7"/>
      <c r="AA64" s="7"/>
      <c r="AB64" s="7"/>
      <c r="AC64" s="7"/>
      <c r="AD64" s="252"/>
      <c r="AE64" s="355"/>
      <c r="AF64" s="356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</row>
    <row r="65" spans="1:50" ht="27.95" customHeight="1">
      <c r="A65" s="20"/>
      <c r="B65" s="20"/>
      <c r="C65" s="161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87"/>
      <c r="R65" s="7"/>
      <c r="S65" s="7"/>
      <c r="T65" s="7"/>
      <c r="U65" s="7"/>
      <c r="V65" s="334"/>
      <c r="W65" s="326"/>
      <c r="X65" s="7"/>
      <c r="Y65" s="7"/>
      <c r="Z65" s="7"/>
      <c r="AA65" s="7"/>
      <c r="AB65" s="7"/>
      <c r="AC65" s="7"/>
      <c r="AD65" s="3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</row>
    <row r="66" spans="1:50" ht="18" customHeight="1">
      <c r="C66" s="187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194"/>
      <c r="R66" s="7"/>
      <c r="S66" s="7"/>
      <c r="T66" s="7"/>
      <c r="U66" s="7"/>
      <c r="V66" s="357"/>
      <c r="W66" s="326"/>
      <c r="X66" s="322"/>
      <c r="Y66" s="7"/>
      <c r="Z66" s="7"/>
      <c r="AA66" s="7"/>
      <c r="AB66" s="7"/>
      <c r="AC66" s="7"/>
      <c r="AD66" s="3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</row>
    <row r="67" spans="1:50" ht="17.25" customHeight="1"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203"/>
      <c r="R67" s="7"/>
      <c r="S67" s="7"/>
      <c r="T67" s="7"/>
      <c r="U67" s="7"/>
      <c r="V67" s="358"/>
      <c r="W67" s="7"/>
      <c r="X67" s="326"/>
      <c r="Y67" s="7"/>
      <c r="Z67" s="7"/>
      <c r="AA67" s="7"/>
      <c r="AB67" s="7"/>
      <c r="AC67" s="7"/>
      <c r="AD67" s="3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</row>
    <row r="68" spans="1:50" ht="15" customHeight="1">
      <c r="C68" s="203"/>
      <c r="D68" s="194"/>
      <c r="E68" s="194"/>
      <c r="F68" s="194"/>
      <c r="G68" s="194"/>
      <c r="H68" s="194"/>
      <c r="I68" s="8"/>
      <c r="J68" s="8"/>
      <c r="K68" s="8"/>
      <c r="L68" s="8"/>
      <c r="M68" s="8"/>
      <c r="N68" s="8"/>
      <c r="O68" s="8"/>
      <c r="P68" s="8"/>
      <c r="Q68" s="194"/>
      <c r="R68" s="7"/>
      <c r="S68" s="7"/>
      <c r="T68" s="7"/>
      <c r="U68" s="7"/>
      <c r="V68" s="333"/>
      <c r="W68" s="7"/>
      <c r="X68" s="326"/>
      <c r="Y68" s="322"/>
      <c r="Z68" s="7"/>
      <c r="AA68" s="7"/>
      <c r="AB68" s="7"/>
      <c r="AC68" s="7"/>
      <c r="AD68" s="3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</row>
    <row r="69" spans="1:50" ht="15" customHeight="1">
      <c r="C69" s="8"/>
      <c r="D69" s="359"/>
      <c r="E69" s="359"/>
      <c r="F69" s="359"/>
      <c r="G69" s="359"/>
      <c r="H69" s="359"/>
      <c r="I69" s="8"/>
      <c r="J69" s="8"/>
      <c r="K69" s="8"/>
      <c r="L69" s="8"/>
      <c r="M69" s="8"/>
      <c r="N69" s="8"/>
      <c r="O69" s="8"/>
      <c r="P69" s="8"/>
      <c r="Q69" s="8"/>
      <c r="R69" s="7"/>
      <c r="S69" s="7"/>
      <c r="T69" s="7"/>
      <c r="U69" s="7"/>
      <c r="V69" s="241"/>
      <c r="W69" s="7"/>
      <c r="X69" s="326"/>
      <c r="Y69" s="326"/>
      <c r="Z69" s="7"/>
      <c r="AA69" s="7"/>
      <c r="AB69" s="7"/>
      <c r="AC69" s="7"/>
      <c r="AD69" s="3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</row>
    <row r="70" spans="1:50" ht="15" customHeight="1">
      <c r="C70" s="8"/>
      <c r="D70" s="359"/>
      <c r="E70" s="359"/>
      <c r="F70" s="359"/>
      <c r="G70" s="359"/>
      <c r="H70" s="359"/>
      <c r="I70" s="8"/>
      <c r="J70" s="8"/>
      <c r="K70" s="8"/>
      <c r="L70" s="8"/>
      <c r="M70" s="8"/>
      <c r="N70" s="8"/>
      <c r="O70" s="8"/>
      <c r="P70" s="8"/>
      <c r="Q70" s="8"/>
      <c r="R70" s="7"/>
      <c r="S70" s="7"/>
      <c r="T70" s="7"/>
      <c r="U70" s="7"/>
      <c r="V70" s="360"/>
      <c r="W70" s="96"/>
      <c r="X70" s="7"/>
      <c r="Y70" s="326"/>
      <c r="Z70" s="234"/>
      <c r="AA70" s="234"/>
      <c r="AB70" s="234"/>
      <c r="AC70" s="234"/>
      <c r="AD70" s="3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</row>
    <row r="71" spans="1:50" ht="15" customHeight="1">
      <c r="C71" s="8"/>
      <c r="D71" s="359"/>
      <c r="E71" s="359"/>
      <c r="F71" s="359"/>
      <c r="G71" s="359"/>
      <c r="H71" s="359"/>
      <c r="I71" s="8"/>
      <c r="J71" s="8"/>
      <c r="K71" s="8"/>
      <c r="L71" s="8"/>
      <c r="M71" s="8"/>
      <c r="N71" s="8"/>
      <c r="O71" s="8"/>
      <c r="P71" s="8"/>
      <c r="Q71" s="8"/>
      <c r="R71" s="7"/>
      <c r="S71" s="7"/>
      <c r="T71" s="7"/>
      <c r="U71" s="7"/>
      <c r="V71" s="234"/>
      <c r="W71" s="7"/>
      <c r="X71" s="7"/>
      <c r="Y71" s="326"/>
      <c r="Z71" s="234"/>
      <c r="AA71" s="234"/>
      <c r="AB71" s="234"/>
      <c r="AC71" s="234"/>
      <c r="AD71" s="3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</row>
    <row r="72" spans="1:50" ht="15" customHeight="1">
      <c r="D72" s="361"/>
      <c r="E72" s="361"/>
      <c r="F72" s="361"/>
      <c r="G72" s="361"/>
      <c r="H72" s="361"/>
      <c r="R72" s="7"/>
      <c r="S72" s="7"/>
      <c r="T72" s="7"/>
      <c r="U72" s="7"/>
      <c r="V72" s="362"/>
      <c r="W72" s="360"/>
      <c r="X72" s="7"/>
      <c r="Y72" s="7"/>
      <c r="Z72" s="7"/>
      <c r="AA72" s="7"/>
      <c r="AB72" s="7"/>
      <c r="AC72" s="7"/>
      <c r="AD72" s="3"/>
      <c r="AE72" s="155"/>
      <c r="AF72" s="155"/>
      <c r="AG72" s="155"/>
    </row>
    <row r="73" spans="1:50" ht="15.75" customHeight="1">
      <c r="D73" s="361"/>
      <c r="E73" s="361"/>
      <c r="F73" s="361"/>
      <c r="G73" s="361"/>
      <c r="H73" s="361"/>
      <c r="R73" s="7"/>
      <c r="S73" s="7"/>
      <c r="T73" s="7"/>
      <c r="U73" s="7"/>
      <c r="V73" s="234"/>
      <c r="W73" s="234"/>
      <c r="X73" s="96"/>
      <c r="Y73" s="7"/>
      <c r="Z73" s="7"/>
      <c r="AA73" s="7"/>
      <c r="AB73" s="7"/>
      <c r="AC73" s="324"/>
      <c r="AD73" s="3"/>
    </row>
    <row r="74" spans="1:50" s="20" customFormat="1" ht="15" customHeight="1">
      <c r="A74" s="3"/>
      <c r="B74" s="3"/>
      <c r="C74" s="3"/>
      <c r="D74" s="361"/>
      <c r="E74" s="361"/>
      <c r="F74" s="361"/>
      <c r="G74" s="361"/>
      <c r="H74" s="361"/>
      <c r="I74" s="3"/>
      <c r="J74" s="3"/>
      <c r="K74" s="3"/>
      <c r="L74" s="3"/>
      <c r="M74" s="3"/>
      <c r="N74" s="3"/>
      <c r="O74" s="3"/>
      <c r="P74" s="3"/>
      <c r="Q74" s="3"/>
      <c r="R74" s="7"/>
      <c r="S74" s="7"/>
      <c r="T74" s="7"/>
      <c r="U74" s="7"/>
      <c r="V74" s="234"/>
      <c r="W74" s="362"/>
      <c r="X74" s="7"/>
      <c r="Y74" s="7"/>
      <c r="Z74" s="7"/>
      <c r="AA74" s="7"/>
      <c r="AB74" s="7"/>
      <c r="AC74" s="7"/>
      <c r="AD74" s="3"/>
      <c r="AE74" s="363"/>
      <c r="AF74" s="364"/>
      <c r="AG74" s="3"/>
      <c r="AH74" s="155"/>
      <c r="AI74" s="155"/>
      <c r="AJ74" s="155"/>
      <c r="AK74" s="155"/>
      <c r="AL74" s="155"/>
      <c r="AM74" s="155"/>
      <c r="AN74" s="155"/>
      <c r="AO74" s="155"/>
      <c r="AP74" s="155"/>
      <c r="AQ74" s="3"/>
      <c r="AR74" s="3"/>
      <c r="AS74" s="3"/>
      <c r="AT74" s="3"/>
      <c r="AU74" s="3"/>
      <c r="AV74" s="3"/>
      <c r="AW74" s="3"/>
      <c r="AX74" s="3"/>
    </row>
    <row r="75" spans="1:50" ht="15.75" customHeight="1">
      <c r="D75" s="361"/>
      <c r="E75" s="361"/>
      <c r="F75" s="361"/>
      <c r="G75" s="361"/>
      <c r="H75" s="361"/>
      <c r="R75" s="7"/>
      <c r="S75" s="7"/>
      <c r="T75" s="7"/>
      <c r="U75" s="7"/>
      <c r="V75" s="312"/>
      <c r="W75" s="234"/>
      <c r="X75" s="360"/>
      <c r="Y75" s="96"/>
      <c r="Z75" s="234"/>
      <c r="AA75" s="7"/>
      <c r="AB75" s="7"/>
      <c r="AC75" s="7"/>
      <c r="AD75" s="3"/>
      <c r="AE75" s="363"/>
      <c r="AF75" s="364"/>
      <c r="AG75" s="155"/>
      <c r="AQ75" s="155"/>
      <c r="AR75" s="155"/>
    </row>
    <row r="76" spans="1:50" ht="15" customHeight="1">
      <c r="A76" s="252"/>
      <c r="B76" s="252"/>
      <c r="C76" s="252"/>
      <c r="D76" s="365"/>
      <c r="E76" s="365"/>
      <c r="F76" s="365"/>
      <c r="G76" s="365"/>
      <c r="H76" s="365"/>
      <c r="I76" s="252"/>
      <c r="J76" s="252"/>
      <c r="K76" s="252"/>
      <c r="L76" s="252"/>
      <c r="M76" s="252"/>
      <c r="N76" s="252"/>
      <c r="O76" s="252"/>
      <c r="P76" s="252"/>
      <c r="R76" s="7"/>
      <c r="S76" s="7"/>
      <c r="T76" s="7"/>
      <c r="U76" s="7"/>
      <c r="V76" s="312"/>
      <c r="W76" s="234"/>
      <c r="X76" s="234"/>
      <c r="Y76" s="366"/>
      <c r="Z76" s="234"/>
      <c r="AA76" s="7"/>
      <c r="AB76" s="7"/>
      <c r="AC76" s="7"/>
      <c r="AD76" s="3"/>
      <c r="AE76" s="363"/>
      <c r="AR76" s="20"/>
    </row>
    <row r="77" spans="1:50" ht="15" customHeight="1">
      <c r="D77" s="361"/>
      <c r="E77" s="361"/>
      <c r="F77" s="361"/>
      <c r="G77" s="361"/>
      <c r="H77" s="361"/>
      <c r="Q77" s="252"/>
      <c r="R77" s="7"/>
      <c r="S77" s="7"/>
      <c r="T77" s="7"/>
      <c r="U77" s="7"/>
      <c r="V77" s="312"/>
      <c r="W77" s="312"/>
      <c r="X77" s="362"/>
      <c r="Y77" s="360"/>
      <c r="Z77" s="360"/>
      <c r="AA77" s="360"/>
      <c r="AB77" s="360"/>
      <c r="AC77" s="360"/>
      <c r="AD77" s="3"/>
      <c r="AE77" s="367"/>
      <c r="AF77" s="368"/>
      <c r="AH77" s="367"/>
      <c r="AI77" s="367"/>
      <c r="AJ77" s="367"/>
      <c r="AK77" s="367"/>
      <c r="AL77" s="367"/>
      <c r="AM77" s="367"/>
      <c r="AN77" s="367"/>
      <c r="AO77" s="367"/>
      <c r="AP77" s="367"/>
      <c r="AS77" s="20"/>
    </row>
    <row r="78" spans="1:50" ht="15.75" customHeight="1">
      <c r="D78" s="361"/>
      <c r="E78" s="361"/>
      <c r="F78" s="361"/>
      <c r="G78" s="361"/>
      <c r="H78" s="361"/>
      <c r="R78" s="7"/>
      <c r="S78" s="7"/>
      <c r="T78" s="7"/>
      <c r="U78" s="7"/>
      <c r="V78" s="312"/>
      <c r="W78" s="312"/>
      <c r="X78" s="234"/>
      <c r="Y78" s="369"/>
      <c r="Z78" s="369" t="s">
        <v>233</v>
      </c>
      <c r="AA78" s="370" t="s">
        <v>234</v>
      </c>
      <c r="AB78" s="371"/>
      <c r="AC78" s="371" t="s">
        <v>235</v>
      </c>
      <c r="AD78" s="3"/>
      <c r="AE78" s="367"/>
      <c r="AF78" s="372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20"/>
      <c r="AR78" s="20"/>
      <c r="AS78" s="20"/>
    </row>
    <row r="79" spans="1:50" ht="15.75" customHeight="1">
      <c r="D79" s="361"/>
      <c r="E79" s="361"/>
      <c r="F79" s="361"/>
      <c r="G79" s="361"/>
      <c r="H79" s="361"/>
      <c r="R79" s="7"/>
      <c r="S79" s="7"/>
      <c r="T79" s="7"/>
      <c r="U79" s="7"/>
      <c r="V79" s="312"/>
      <c r="W79" s="312"/>
      <c r="X79" s="234"/>
      <c r="Y79" s="373"/>
      <c r="Z79" s="373" t="e">
        <f>AND(#REF!&lt;35,#REF!&gt;40,#REF!&gt;10,AG94&lt;=4)</f>
        <v>#REF!</v>
      </c>
      <c r="AA79" s="373" t="e">
        <f>AND(#REF!&gt;35,#REF!&lt;=40,#REF!&lt;=10,AG94&lt;=8)</f>
        <v>#REF!</v>
      </c>
      <c r="AB79" s="374"/>
      <c r="AC79" s="374" t="e">
        <f>AND(#REF!&gt;35,#REF!&gt;40,#REF!&gt;10,AG94&lt;=20,#REF!&lt;=(#REF!-30))</f>
        <v>#REF!</v>
      </c>
      <c r="AD79" s="3"/>
      <c r="AE79" s="375"/>
      <c r="AF79" s="372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R79" s="376"/>
      <c r="AS79" s="376"/>
    </row>
    <row r="80" spans="1:50" ht="15" customHeight="1">
      <c r="D80" s="361"/>
      <c r="E80" s="361"/>
      <c r="F80" s="361"/>
      <c r="G80" s="361"/>
      <c r="H80" s="361"/>
      <c r="R80" s="7"/>
      <c r="S80" s="7"/>
      <c r="T80" s="7"/>
      <c r="U80" s="7"/>
      <c r="V80" s="312"/>
      <c r="W80" s="312"/>
      <c r="X80" s="312"/>
      <c r="Y80" s="234"/>
      <c r="Z80" s="234" t="s">
        <v>236</v>
      </c>
      <c r="AA80" s="234" t="s">
        <v>237</v>
      </c>
      <c r="AB80" s="234"/>
      <c r="AC80" s="234" t="s">
        <v>238</v>
      </c>
      <c r="AD80" s="3"/>
      <c r="AE80" s="375"/>
      <c r="AF80" s="372"/>
      <c r="AG80" s="367"/>
      <c r="AH80" s="364"/>
      <c r="AI80" s="364"/>
      <c r="AJ80" s="364"/>
      <c r="AK80" s="364"/>
      <c r="AL80" s="364"/>
      <c r="AM80" s="364"/>
      <c r="AN80" s="364"/>
      <c r="AO80" s="364"/>
      <c r="AP80" s="364"/>
      <c r="AR80" s="20"/>
    </row>
    <row r="81" spans="1:50" ht="15.75" customHeight="1" thickBot="1">
      <c r="D81" s="361"/>
      <c r="E81" s="361"/>
      <c r="F81" s="361"/>
      <c r="G81" s="361"/>
      <c r="H81" s="361"/>
      <c r="R81" s="7"/>
      <c r="S81" s="7"/>
      <c r="T81" s="7"/>
      <c r="U81" s="7"/>
      <c r="V81" s="312"/>
      <c r="W81" s="312"/>
      <c r="X81" s="312"/>
      <c r="Y81" s="234"/>
      <c r="Z81" s="7"/>
      <c r="AA81" s="7"/>
      <c r="AB81" s="7"/>
      <c r="AC81" s="7"/>
      <c r="AD81" s="377"/>
      <c r="AE81" s="375"/>
      <c r="AF81" s="378"/>
      <c r="AG81" s="364"/>
      <c r="AH81" s="379"/>
      <c r="AI81" s="379"/>
      <c r="AJ81" s="379"/>
      <c r="AK81" s="379"/>
      <c r="AL81" s="379"/>
      <c r="AM81" s="379"/>
      <c r="AN81" s="379"/>
      <c r="AO81" s="379"/>
      <c r="AP81" s="379"/>
      <c r="AQ81" s="367"/>
    </row>
    <row r="82" spans="1:50" ht="15.75" customHeight="1">
      <c r="D82" s="361"/>
      <c r="E82" s="361"/>
      <c r="F82" s="361"/>
      <c r="G82" s="361"/>
      <c r="H82" s="361"/>
      <c r="R82" s="7"/>
      <c r="S82" s="7"/>
      <c r="T82" s="7"/>
      <c r="U82" s="7"/>
      <c r="W82" s="312"/>
      <c r="X82" s="312"/>
      <c r="Y82" s="312"/>
      <c r="Z82" s="380" t="s">
        <v>97</v>
      </c>
      <c r="AA82" s="380" t="s">
        <v>94</v>
      </c>
      <c r="AB82" s="381"/>
      <c r="AC82" s="382" t="s">
        <v>239</v>
      </c>
      <c r="AD82" s="383"/>
      <c r="AE82" s="384"/>
      <c r="AF82" s="384"/>
      <c r="AG82" s="379"/>
      <c r="AH82" s="379"/>
      <c r="AI82" s="379"/>
      <c r="AJ82" s="379"/>
      <c r="AK82" s="379"/>
      <c r="AL82" s="379"/>
      <c r="AM82" s="379"/>
      <c r="AN82" s="379"/>
      <c r="AO82" s="379"/>
      <c r="AP82" s="379"/>
      <c r="AQ82" s="367"/>
    </row>
    <row r="83" spans="1:50" ht="15.75" customHeight="1">
      <c r="D83" s="361"/>
      <c r="E83" s="361"/>
      <c r="F83" s="361"/>
      <c r="G83" s="361"/>
      <c r="H83" s="361"/>
      <c r="R83" s="7"/>
      <c r="S83" s="7"/>
      <c r="T83" s="7"/>
      <c r="U83" s="7"/>
      <c r="W83" s="312"/>
      <c r="X83" s="312"/>
      <c r="Y83" s="312"/>
      <c r="Z83" s="385"/>
      <c r="AA83" s="386" t="s">
        <v>240</v>
      </c>
      <c r="AB83" s="387"/>
      <c r="AC83" s="388">
        <v>12</v>
      </c>
      <c r="AD83" s="389"/>
      <c r="AE83" s="384"/>
      <c r="AF83" s="384"/>
      <c r="AG83" s="379"/>
      <c r="AH83" s="364"/>
      <c r="AI83" s="364"/>
      <c r="AJ83" s="364"/>
      <c r="AK83" s="364"/>
      <c r="AL83" s="364"/>
      <c r="AM83" s="364"/>
      <c r="AN83" s="364"/>
      <c r="AO83" s="364"/>
      <c r="AP83" s="364"/>
      <c r="AQ83" s="367"/>
    </row>
    <row r="84" spans="1:50" ht="15" customHeight="1">
      <c r="D84" s="361"/>
      <c r="E84" s="361"/>
      <c r="F84" s="361"/>
      <c r="G84" s="361"/>
      <c r="H84" s="361"/>
      <c r="R84" s="7"/>
      <c r="S84" s="7"/>
      <c r="T84" s="7"/>
      <c r="U84" s="7"/>
      <c r="W84" s="312"/>
      <c r="X84" s="312"/>
      <c r="Y84" s="312"/>
      <c r="Z84" s="390" t="s">
        <v>239</v>
      </c>
      <c r="AA84" s="391"/>
      <c r="AB84" s="392"/>
      <c r="AC84" s="7"/>
      <c r="AD84" s="383"/>
      <c r="AE84" s="393"/>
      <c r="AF84" s="393"/>
      <c r="AG84" s="364"/>
      <c r="AH84" s="367"/>
      <c r="AI84" s="367"/>
      <c r="AJ84" s="367"/>
      <c r="AK84" s="367"/>
      <c r="AL84" s="367"/>
      <c r="AM84" s="367"/>
      <c r="AN84" s="367"/>
      <c r="AO84" s="367"/>
      <c r="AP84" s="367"/>
      <c r="AQ84" s="367"/>
      <c r="AR84" s="376"/>
      <c r="AS84" s="376"/>
    </row>
    <row r="85" spans="1:50" ht="15" customHeight="1">
      <c r="D85" s="361"/>
      <c r="E85" s="361"/>
      <c r="F85" s="361"/>
      <c r="G85" s="361"/>
      <c r="H85" s="361"/>
      <c r="R85" s="7"/>
      <c r="S85" s="7"/>
      <c r="T85" s="7"/>
      <c r="U85" s="7"/>
      <c r="X85" s="312"/>
      <c r="Y85" s="312"/>
      <c r="Z85" s="394" t="s">
        <v>241</v>
      </c>
      <c r="AA85" s="395" t="s">
        <v>242</v>
      </c>
      <c r="AB85" s="385"/>
      <c r="AC85" s="7"/>
      <c r="AD85" s="396"/>
      <c r="AE85" s="393"/>
      <c r="AF85" s="393"/>
      <c r="AG85" s="367"/>
      <c r="AH85" s="384"/>
      <c r="AI85" s="384"/>
      <c r="AJ85" s="384"/>
      <c r="AK85" s="384"/>
      <c r="AL85" s="384"/>
      <c r="AM85" s="384"/>
      <c r="AN85" s="384"/>
      <c r="AO85" s="384"/>
      <c r="AP85" s="384"/>
      <c r="AQ85" s="367"/>
      <c r="AR85" s="376"/>
      <c r="AS85" s="376"/>
    </row>
    <row r="86" spans="1:50" ht="15.75" customHeight="1">
      <c r="D86" s="361"/>
      <c r="E86" s="361"/>
      <c r="F86" s="361"/>
      <c r="G86" s="361"/>
      <c r="H86" s="361"/>
      <c r="R86" s="7"/>
      <c r="S86" s="7"/>
      <c r="T86" s="7"/>
      <c r="U86" s="7"/>
      <c r="X86" s="312"/>
      <c r="Y86" s="312"/>
      <c r="Z86" s="397" t="s">
        <v>243</v>
      </c>
      <c r="AA86" s="398" t="str">
        <f>IF(AF86&gt;4,IF(AF87&gt;1,IF(AF87&lt;3,"GW","GP"),"GP"),"GP")</f>
        <v>GP</v>
      </c>
      <c r="AB86" s="399"/>
      <c r="AC86" s="7"/>
      <c r="AD86" s="396"/>
      <c r="AE86" s="20"/>
      <c r="AF86" s="400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401"/>
      <c r="AR86" s="402"/>
      <c r="AS86" s="402"/>
      <c r="AT86" s="20"/>
      <c r="AU86" s="20"/>
      <c r="AV86" s="20"/>
      <c r="AW86" s="20"/>
      <c r="AX86" s="20"/>
    </row>
    <row r="87" spans="1:50" ht="15" customHeight="1">
      <c r="D87" s="361"/>
      <c r="E87" s="361"/>
      <c r="F87" s="361"/>
      <c r="G87" s="361"/>
      <c r="H87" s="361"/>
      <c r="R87" s="7"/>
      <c r="S87" s="7"/>
      <c r="T87" s="7"/>
      <c r="U87" s="7"/>
      <c r="X87" s="312"/>
      <c r="Y87" s="312"/>
      <c r="Z87" s="403" t="s">
        <v>244</v>
      </c>
      <c r="AA87" s="404" t="str">
        <f>IF(AF86&gt;6,IF(AF87&gt;1,IF(AF87&lt;3,"SW","SP"),"SP"),"SP")</f>
        <v>SP</v>
      </c>
      <c r="AB87" s="399"/>
      <c r="AC87" s="7"/>
      <c r="AD87" s="396"/>
      <c r="AE87" s="20"/>
      <c r="AF87" s="210"/>
      <c r="AG87" s="384"/>
      <c r="AH87" s="405"/>
      <c r="AI87" s="405"/>
      <c r="AJ87" s="405"/>
      <c r="AK87" s="405"/>
      <c r="AL87" s="405"/>
      <c r="AM87" s="405"/>
      <c r="AN87" s="405"/>
      <c r="AO87" s="405"/>
      <c r="AP87" s="405"/>
      <c r="AQ87" s="367"/>
    </row>
    <row r="88" spans="1:50">
      <c r="D88" s="361"/>
      <c r="E88" s="361"/>
      <c r="F88" s="361"/>
      <c r="G88" s="361"/>
      <c r="H88" s="361"/>
      <c r="R88" s="7"/>
      <c r="S88" s="7"/>
      <c r="T88" s="7"/>
      <c r="U88" s="7"/>
      <c r="AD88" s="396"/>
      <c r="AE88" s="212"/>
      <c r="AF88" s="212"/>
      <c r="AG88" s="405"/>
      <c r="AH88" s="406"/>
      <c r="AI88" s="406"/>
      <c r="AJ88" s="406"/>
      <c r="AK88" s="406"/>
      <c r="AL88" s="406"/>
      <c r="AM88" s="406"/>
      <c r="AN88" s="406"/>
      <c r="AO88" s="406"/>
      <c r="AP88" s="406"/>
      <c r="AQ88" s="367"/>
    </row>
    <row r="89" spans="1:50" ht="15" customHeight="1">
      <c r="D89" s="361"/>
      <c r="E89" s="361"/>
      <c r="F89" s="361"/>
      <c r="G89" s="361"/>
      <c r="H89" s="361"/>
      <c r="R89" s="7"/>
      <c r="S89" s="7"/>
      <c r="T89" s="7"/>
      <c r="U89" s="7"/>
      <c r="AD89" s="396"/>
      <c r="AE89" s="138"/>
      <c r="AF89" s="138"/>
      <c r="AG89" s="406"/>
      <c r="AQ89" s="378"/>
      <c r="AR89" s="20"/>
      <c r="AS89" s="20"/>
    </row>
    <row r="90" spans="1:50" ht="15" customHeight="1">
      <c r="D90" s="361"/>
      <c r="E90" s="361"/>
      <c r="F90" s="361"/>
      <c r="G90" s="361"/>
      <c r="H90" s="361"/>
      <c r="R90" s="7"/>
      <c r="V90" s="252"/>
      <c r="AD90" s="396"/>
      <c r="AE90" s="138"/>
      <c r="AF90" s="138"/>
      <c r="AQ90" s="384"/>
    </row>
    <row r="91" spans="1:50" ht="15" customHeight="1">
      <c r="D91" s="361"/>
      <c r="E91" s="361"/>
      <c r="F91" s="361"/>
      <c r="G91" s="361"/>
      <c r="H91" s="361"/>
      <c r="AD91" s="396"/>
      <c r="AH91" s="212"/>
      <c r="AI91" s="212"/>
      <c r="AJ91" s="212"/>
      <c r="AK91" s="212"/>
      <c r="AL91" s="212"/>
      <c r="AM91" s="212"/>
      <c r="AN91" s="212"/>
      <c r="AO91" s="212"/>
      <c r="AP91" s="212"/>
      <c r="AQ91" s="407"/>
    </row>
    <row r="92" spans="1:50" ht="15" customHeight="1">
      <c r="D92" s="361"/>
      <c r="E92" s="361"/>
      <c r="F92" s="361"/>
      <c r="G92" s="361"/>
      <c r="H92" s="361"/>
      <c r="AD92" s="396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367"/>
    </row>
    <row r="93" spans="1:50" s="252" customFormat="1" ht="27.75" customHeight="1">
      <c r="A93" s="3"/>
      <c r="B93" s="3"/>
      <c r="C93" s="3"/>
      <c r="D93" s="361"/>
      <c r="E93" s="361"/>
      <c r="F93" s="361"/>
      <c r="G93" s="361"/>
      <c r="H93" s="36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X93" s="3"/>
      <c r="Y93" s="3"/>
      <c r="Z93" s="3"/>
      <c r="AA93" s="3"/>
      <c r="AB93" s="3"/>
      <c r="AC93" s="3"/>
      <c r="AD93" s="396"/>
      <c r="AE93" s="3"/>
      <c r="AF93" s="3"/>
      <c r="AG93" s="212"/>
      <c r="AH93" s="408"/>
      <c r="AI93" s="408"/>
      <c r="AJ93" s="408"/>
      <c r="AK93" s="408"/>
      <c r="AL93" s="408"/>
      <c r="AM93" s="408"/>
      <c r="AN93" s="408"/>
      <c r="AO93" s="408"/>
      <c r="AP93" s="408"/>
      <c r="AQ93" s="3"/>
      <c r="AR93" s="3"/>
      <c r="AS93" s="3"/>
    </row>
    <row r="94" spans="1:50" ht="15" customHeight="1">
      <c r="D94" s="361"/>
      <c r="E94" s="361"/>
      <c r="F94" s="361"/>
      <c r="G94" s="361"/>
      <c r="H94" s="361"/>
      <c r="AC94" s="7"/>
      <c r="AD94" s="396"/>
      <c r="AG94" s="408"/>
    </row>
    <row r="95" spans="1:50" ht="15" customHeight="1">
      <c r="D95" s="361"/>
      <c r="E95" s="361"/>
      <c r="F95" s="312"/>
      <c r="G95" s="312"/>
      <c r="H95" s="312"/>
      <c r="AC95" s="7"/>
      <c r="AD95" s="396"/>
      <c r="AH95" s="252"/>
      <c r="AI95" s="252"/>
      <c r="AJ95" s="252"/>
      <c r="AK95" s="252"/>
      <c r="AL95" s="252"/>
      <c r="AM95" s="252"/>
      <c r="AN95" s="252"/>
      <c r="AO95" s="252"/>
      <c r="AP95" s="252"/>
    </row>
    <row r="96" spans="1:50" ht="15" customHeight="1">
      <c r="D96" s="361"/>
      <c r="E96" s="361"/>
      <c r="F96" s="312"/>
      <c r="G96" s="312"/>
      <c r="H96" s="312"/>
      <c r="I96" s="312"/>
      <c r="J96" s="312"/>
      <c r="K96" s="312"/>
      <c r="L96" s="312"/>
      <c r="X96" s="252"/>
      <c r="Y96" s="252"/>
      <c r="Z96" s="252"/>
      <c r="AA96" s="252"/>
      <c r="AB96" s="252"/>
      <c r="AC96" s="409"/>
      <c r="AD96" s="410"/>
      <c r="AE96" s="252"/>
      <c r="AF96" s="252"/>
      <c r="AG96" s="252"/>
      <c r="AQ96" s="252"/>
      <c r="AR96" s="252"/>
      <c r="AS96" s="252"/>
    </row>
    <row r="97" spans="3:30" ht="15" customHeight="1">
      <c r="C97" s="312"/>
      <c r="D97" s="234"/>
      <c r="E97" s="234"/>
      <c r="F97" s="7"/>
      <c r="G97" s="7"/>
      <c r="H97" s="7"/>
      <c r="I97" s="7"/>
      <c r="J97" s="7"/>
      <c r="K97" s="7"/>
      <c r="L97" s="7"/>
      <c r="AC97" s="7"/>
      <c r="AD97" s="396"/>
    </row>
    <row r="98" spans="3:30" ht="15" customHeight="1">
      <c r="C98" s="312"/>
      <c r="D98" s="234"/>
      <c r="E98" s="234"/>
      <c r="F98" s="7"/>
      <c r="G98" s="7"/>
      <c r="H98" s="7"/>
      <c r="I98" s="7"/>
      <c r="J98" s="7"/>
      <c r="K98" s="7"/>
      <c r="L98" s="7"/>
      <c r="AD98" s="396"/>
    </row>
    <row r="99" spans="3:30" ht="15" customHeight="1">
      <c r="C99" s="7"/>
      <c r="D99" s="234"/>
      <c r="E99" s="234"/>
      <c r="F99" s="7"/>
      <c r="G99" s="7"/>
      <c r="H99" s="7"/>
      <c r="I99" s="7"/>
      <c r="J99" s="7"/>
      <c r="K99" s="7"/>
      <c r="L99" s="7"/>
      <c r="AC99" s="7"/>
      <c r="AD99" s="396"/>
    </row>
    <row r="100" spans="3:30" ht="15" customHeight="1">
      <c r="C100" s="7"/>
      <c r="D100" s="234"/>
      <c r="E100" s="234"/>
      <c r="F100" s="7"/>
      <c r="G100" s="7"/>
      <c r="H100" s="7"/>
      <c r="I100" s="7"/>
      <c r="J100" s="7"/>
      <c r="K100" s="7"/>
      <c r="L100" s="7"/>
      <c r="M100" s="7"/>
      <c r="N100" s="312"/>
      <c r="O100" s="312"/>
      <c r="P100" s="312"/>
      <c r="AC100" s="7"/>
      <c r="AD100" s="396"/>
    </row>
    <row r="101" spans="3:30" ht="15" customHeight="1">
      <c r="C101" s="7"/>
      <c r="D101" s="234"/>
      <c r="E101" s="234"/>
      <c r="F101" s="7"/>
      <c r="G101" s="7"/>
      <c r="H101" s="7"/>
      <c r="I101" s="7"/>
      <c r="J101" s="7"/>
      <c r="K101" s="7"/>
      <c r="L101" s="7"/>
      <c r="M101" s="7"/>
      <c r="N101" s="312"/>
      <c r="O101" s="312"/>
      <c r="P101" s="312"/>
      <c r="Q101" s="312"/>
      <c r="AC101" s="7"/>
      <c r="AD101" s="396"/>
    </row>
    <row r="102" spans="3:30" ht="15" customHeight="1">
      <c r="C102" s="7"/>
      <c r="D102" s="234"/>
      <c r="E102" s="234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312"/>
      <c r="AC102" s="7"/>
      <c r="AD102" s="396"/>
    </row>
    <row r="103" spans="3:30" ht="15" customHeight="1">
      <c r="C103" s="7"/>
      <c r="D103" s="411"/>
      <c r="E103" s="411"/>
      <c r="F103" s="330"/>
      <c r="G103" s="330"/>
      <c r="H103" s="330"/>
      <c r="I103" s="330"/>
      <c r="J103" s="330"/>
      <c r="K103" s="330"/>
      <c r="L103" s="330"/>
      <c r="M103" s="330"/>
      <c r="N103" s="7"/>
      <c r="O103" s="7"/>
      <c r="P103" s="7"/>
      <c r="Q103" s="7"/>
      <c r="AC103" s="7"/>
      <c r="AD103" s="396"/>
    </row>
    <row r="104" spans="3:30" ht="15" customHeight="1">
      <c r="C104" s="7"/>
      <c r="D104" s="234"/>
      <c r="E104" s="234"/>
      <c r="F104" s="7"/>
      <c r="G104" s="7"/>
      <c r="H104" s="7"/>
      <c r="I104" s="7"/>
      <c r="J104" s="7"/>
      <c r="K104" s="7"/>
      <c r="L104" s="7"/>
      <c r="M104" s="7"/>
      <c r="N104" s="7"/>
      <c r="O104" s="366"/>
      <c r="P104" s="241"/>
      <c r="Q104" s="7"/>
      <c r="AC104" s="7"/>
      <c r="AD104" s="396"/>
    </row>
    <row r="105" spans="3:30" ht="15" customHeight="1">
      <c r="C105" s="330"/>
      <c r="D105" s="234"/>
      <c r="E105" s="234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241"/>
      <c r="AC105" s="7"/>
      <c r="AD105" s="396"/>
    </row>
    <row r="106" spans="3:30" ht="15" customHeight="1">
      <c r="C106" s="7"/>
      <c r="D106" s="234"/>
      <c r="E106" s="234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AC106" s="7"/>
      <c r="AD106" s="396"/>
    </row>
    <row r="107" spans="3:30" ht="15" customHeight="1">
      <c r="C107" s="7"/>
      <c r="D107" s="234"/>
      <c r="E107" s="234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AC107" s="7"/>
      <c r="AD107" s="396"/>
    </row>
    <row r="108" spans="3:30" ht="15" customHeight="1">
      <c r="C108" s="7"/>
      <c r="D108" s="234"/>
      <c r="E108" s="234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AC108" s="7"/>
      <c r="AD108" s="396"/>
    </row>
    <row r="109" spans="3:30" ht="15" customHeight="1">
      <c r="C109" s="7"/>
      <c r="D109" s="234"/>
      <c r="E109" s="234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AC109" s="7"/>
      <c r="AD109" s="396"/>
    </row>
    <row r="110" spans="3:30" ht="15" customHeight="1">
      <c r="C110" s="7"/>
      <c r="D110" s="234"/>
      <c r="E110" s="234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AC110" s="7"/>
      <c r="AD110" s="396"/>
    </row>
    <row r="111" spans="3:30" ht="15" customHeight="1">
      <c r="C111" s="7"/>
      <c r="D111" s="234"/>
      <c r="E111" s="234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AC111" s="7"/>
      <c r="AD111" s="396"/>
    </row>
    <row r="112" spans="3:30" ht="15" customHeight="1">
      <c r="C112" s="7"/>
      <c r="D112" s="234"/>
      <c r="E112" s="234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X112" s="312"/>
      <c r="Y112" s="312"/>
      <c r="Z112" s="312"/>
      <c r="AA112" s="312"/>
      <c r="AB112" s="412"/>
      <c r="AC112" s="7"/>
    </row>
    <row r="113" spans="3:31" ht="15" customHeight="1">
      <c r="C113" s="7"/>
      <c r="D113" s="234"/>
      <c r="E113" s="234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X113" s="312"/>
      <c r="Y113" s="312"/>
      <c r="Z113" s="312"/>
      <c r="AA113" s="312"/>
      <c r="AB113" s="412"/>
      <c r="AC113" s="7"/>
    </row>
    <row r="114" spans="3:31" ht="15" customHeight="1">
      <c r="C114" s="7"/>
      <c r="D114" s="234"/>
      <c r="E114" s="234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V114" s="312"/>
      <c r="X114" s="312"/>
      <c r="Y114" s="312"/>
      <c r="Z114" s="312"/>
      <c r="AA114" s="312"/>
      <c r="AB114" s="412"/>
      <c r="AC114" s="7"/>
      <c r="AD114" s="413"/>
      <c r="AE114" s="414"/>
    </row>
    <row r="115" spans="3:31" ht="15" customHeight="1">
      <c r="C115" s="7"/>
      <c r="D115" s="234"/>
      <c r="E115" s="234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V115" s="312"/>
      <c r="X115" s="312"/>
      <c r="Y115" s="312"/>
      <c r="Z115" s="312"/>
      <c r="AA115" s="312"/>
      <c r="AB115" s="412"/>
      <c r="AC115" s="7"/>
      <c r="AD115" s="415"/>
      <c r="AE115" s="415"/>
    </row>
    <row r="116" spans="3:31" ht="15" customHeight="1">
      <c r="C116" s="7"/>
      <c r="D116" s="234"/>
      <c r="E116" s="234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V116" s="7"/>
      <c r="W116" s="416" t="e">
        <f>SUM(#REF!+#REF!)</f>
        <v>#REF!</v>
      </c>
      <c r="X116" s="312"/>
      <c r="Y116" s="312"/>
      <c r="Z116" s="312"/>
      <c r="AA116" s="312"/>
      <c r="AB116" s="412"/>
      <c r="AC116" s="330"/>
      <c r="AD116" s="417"/>
      <c r="AE116" s="417"/>
    </row>
    <row r="117" spans="3:31" ht="15" customHeight="1">
      <c r="C117" s="7"/>
      <c r="D117" s="234"/>
      <c r="E117" s="234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V117" s="7"/>
      <c r="W117" s="330"/>
      <c r="X117" s="418"/>
      <c r="Y117" s="418"/>
      <c r="Z117" s="418"/>
      <c r="AA117" s="418"/>
      <c r="AB117" s="419"/>
      <c r="AC117" s="7"/>
    </row>
    <row r="118" spans="3:31" ht="15" customHeight="1">
      <c r="C118" s="7"/>
      <c r="D118" s="234"/>
      <c r="E118" s="234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V118" s="241"/>
      <c r="W118" s="7"/>
      <c r="AA118" s="7"/>
      <c r="AB118" s="7"/>
      <c r="AC118" s="7"/>
    </row>
    <row r="119" spans="3:31" ht="15" customHeight="1">
      <c r="C119" s="7"/>
      <c r="D119" s="234"/>
      <c r="E119" s="234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V119" s="7"/>
      <c r="W119" s="7"/>
      <c r="AA119" s="7"/>
      <c r="AB119" s="7"/>
      <c r="AC119" s="7"/>
    </row>
    <row r="120" spans="3:31" ht="15" customHeight="1">
      <c r="C120" s="7"/>
      <c r="D120" s="234"/>
      <c r="E120" s="234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V120" s="7"/>
      <c r="W120" s="7"/>
      <c r="X120" s="7"/>
      <c r="Y120" s="7"/>
      <c r="Z120" s="7"/>
      <c r="AA120" s="7"/>
      <c r="AB120" s="7"/>
      <c r="AC120" s="7"/>
    </row>
    <row r="121" spans="3:31" ht="15" customHeight="1">
      <c r="C121" s="7"/>
      <c r="D121" s="234"/>
      <c r="E121" s="234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V121" s="7"/>
      <c r="W121" s="7"/>
      <c r="X121" s="7"/>
      <c r="Y121" s="7"/>
      <c r="Z121" s="330"/>
      <c r="AA121" s="330"/>
      <c r="AB121" s="7"/>
      <c r="AC121" s="7"/>
    </row>
    <row r="122" spans="3:31" ht="15" customHeight="1">
      <c r="C122" s="7"/>
      <c r="D122" s="234"/>
      <c r="E122" s="234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V122" s="7"/>
      <c r="W122" s="7"/>
      <c r="X122" s="7"/>
      <c r="Y122" s="7"/>
      <c r="Z122" s="7">
        <v>5.0000000000000001E-3</v>
      </c>
      <c r="AA122" s="7" t="e">
        <f>SUM(Z122*#REF!)</f>
        <v>#REF!</v>
      </c>
      <c r="AB122" s="7"/>
      <c r="AC122" s="7"/>
    </row>
    <row r="123" spans="3:31" ht="15" customHeight="1">
      <c r="C123" s="7"/>
      <c r="D123" s="234"/>
      <c r="E123" s="234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V123" s="7"/>
      <c r="W123" s="7"/>
      <c r="X123" s="7"/>
      <c r="Y123" s="7"/>
      <c r="Z123" s="7"/>
      <c r="AA123" s="7"/>
      <c r="AB123" s="7"/>
      <c r="AC123" s="7"/>
    </row>
    <row r="124" spans="3:31" ht="15" customHeight="1">
      <c r="C124" s="7"/>
      <c r="D124" s="234"/>
      <c r="E124" s="234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V124" s="7"/>
      <c r="W124" s="7"/>
      <c r="X124" s="7"/>
      <c r="Y124" s="7"/>
      <c r="Z124" s="7"/>
      <c r="AA124" s="7"/>
      <c r="AB124" s="7"/>
      <c r="AC124" s="7"/>
    </row>
    <row r="125" spans="3:31" ht="15" customHeight="1">
      <c r="C125" s="7"/>
      <c r="D125" s="234"/>
      <c r="E125" s="234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V125" s="7"/>
      <c r="W125" s="7"/>
      <c r="X125" s="7"/>
      <c r="Y125" s="7"/>
      <c r="Z125" s="7"/>
      <c r="AA125" s="7"/>
      <c r="AB125" s="7"/>
      <c r="AC125" s="7"/>
    </row>
    <row r="126" spans="3:31" ht="15" customHeight="1">
      <c r="C126" s="7"/>
      <c r="D126" s="234"/>
      <c r="E126" s="234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V126" s="7"/>
      <c r="W126" s="7"/>
      <c r="X126" s="7"/>
      <c r="Y126" s="7"/>
      <c r="Z126" s="7"/>
      <c r="AA126" s="7"/>
      <c r="AB126" s="7"/>
      <c r="AC126" s="7"/>
    </row>
    <row r="127" spans="3:31" ht="15" customHeight="1">
      <c r="C127" s="7"/>
      <c r="D127" s="234"/>
      <c r="E127" s="234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V127" s="7"/>
      <c r="W127" s="7"/>
      <c r="X127" s="7"/>
      <c r="Y127" s="7"/>
      <c r="Z127" s="7"/>
      <c r="AA127" s="7"/>
      <c r="AB127" s="7"/>
      <c r="AC127" s="7"/>
    </row>
    <row r="128" spans="3:31" ht="15" customHeight="1">
      <c r="C128" s="7"/>
      <c r="D128" s="234"/>
      <c r="E128" s="234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V128" s="7"/>
      <c r="W128" s="7"/>
      <c r="X128" s="7"/>
      <c r="Y128" s="7"/>
      <c r="Z128" s="7"/>
      <c r="AA128" s="7"/>
      <c r="AB128" s="7"/>
      <c r="AC128" s="7"/>
    </row>
    <row r="129" spans="3:30" ht="15" customHeight="1">
      <c r="C129" s="7"/>
      <c r="D129" s="234"/>
      <c r="E129" s="234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V129" s="7"/>
      <c r="W129" s="7"/>
      <c r="X129" s="7"/>
      <c r="Y129" s="7"/>
      <c r="Z129" s="7"/>
      <c r="AA129" s="7"/>
      <c r="AB129" s="7"/>
      <c r="AC129" s="7"/>
    </row>
    <row r="130" spans="3:30" ht="15" customHeight="1">
      <c r="C130" s="7"/>
      <c r="D130" s="234"/>
      <c r="E130" s="234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V130" s="7"/>
      <c r="W130" s="7"/>
      <c r="X130" s="7"/>
      <c r="Y130" s="7"/>
      <c r="Z130" s="7"/>
      <c r="AA130" s="7"/>
      <c r="AB130" s="7"/>
      <c r="AC130" s="7"/>
    </row>
    <row r="131" spans="3:30" ht="15" customHeight="1">
      <c r="C131" s="7"/>
      <c r="D131" s="234"/>
      <c r="E131" s="234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V131" s="7"/>
      <c r="W131" s="7"/>
      <c r="X131" s="7"/>
      <c r="Y131" s="7"/>
      <c r="Z131" s="7"/>
      <c r="AA131" s="7"/>
      <c r="AB131" s="7"/>
      <c r="AC131" s="7"/>
    </row>
    <row r="132" spans="3:30" ht="15" customHeight="1">
      <c r="C132" s="7"/>
      <c r="D132" s="234"/>
      <c r="E132" s="234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V132" s="7"/>
      <c r="W132" s="7"/>
      <c r="X132" s="7"/>
      <c r="Y132" s="7"/>
      <c r="Z132" s="7"/>
      <c r="AA132" s="7"/>
      <c r="AB132" s="7"/>
      <c r="AC132" s="7"/>
    </row>
    <row r="133" spans="3:30" ht="15" customHeight="1">
      <c r="C133" s="7"/>
      <c r="D133" s="234"/>
      <c r="E133" s="234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V133" s="7"/>
      <c r="W133" s="7"/>
      <c r="X133" s="7"/>
      <c r="Y133" s="7"/>
      <c r="Z133" s="7"/>
      <c r="AA133" s="7"/>
      <c r="AB133" s="7"/>
      <c r="AC133" s="7"/>
    </row>
    <row r="134" spans="3:30" ht="15" customHeight="1">
      <c r="C134" s="7"/>
      <c r="D134" s="234"/>
      <c r="E134" s="234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V134" s="7"/>
      <c r="W134" s="7"/>
      <c r="X134" s="7"/>
      <c r="Y134" s="7"/>
      <c r="Z134" s="7"/>
      <c r="AA134" s="7"/>
      <c r="AB134" s="7"/>
      <c r="AC134" s="7"/>
    </row>
    <row r="135" spans="3:30" ht="15" customHeight="1">
      <c r="C135" s="7"/>
      <c r="Q135" s="7"/>
      <c r="V135" s="7"/>
      <c r="W135" s="7"/>
      <c r="X135" s="7"/>
      <c r="Y135" s="7"/>
      <c r="Z135" s="7"/>
      <c r="AA135" s="7"/>
      <c r="AB135" s="7"/>
      <c r="AC135" s="7"/>
    </row>
    <row r="136" spans="3:30" ht="15" customHeight="1">
      <c r="C136" s="7"/>
      <c r="V136" s="7"/>
      <c r="W136" s="7"/>
      <c r="X136" s="7"/>
      <c r="Y136" s="7"/>
      <c r="Z136" s="7"/>
      <c r="AA136" s="7"/>
      <c r="AB136" s="7"/>
      <c r="AC136" s="7"/>
    </row>
    <row r="137" spans="3:30" ht="15" customHeight="1">
      <c r="V137" s="7"/>
      <c r="W137" s="7"/>
      <c r="X137" s="7"/>
      <c r="Y137" s="7"/>
      <c r="Z137" s="7"/>
      <c r="AA137" s="7"/>
      <c r="AB137" s="7"/>
      <c r="AC137" s="7"/>
    </row>
    <row r="138" spans="3:30" ht="15" customHeight="1">
      <c r="V138" s="7"/>
      <c r="W138" s="7"/>
      <c r="X138" s="7"/>
      <c r="Y138" s="7"/>
      <c r="Z138" s="7"/>
      <c r="AA138" s="7"/>
      <c r="AB138" s="7"/>
      <c r="AC138" s="7"/>
    </row>
    <row r="139" spans="3:30" ht="15" customHeight="1">
      <c r="V139" s="7"/>
      <c r="W139" s="7"/>
      <c r="X139" s="7"/>
      <c r="Y139" s="7"/>
      <c r="Z139" s="7"/>
      <c r="AA139" s="7"/>
      <c r="AB139" s="7"/>
      <c r="AC139" s="7"/>
      <c r="AD139" s="3"/>
    </row>
    <row r="140" spans="3:30" ht="15" customHeight="1">
      <c r="V140" s="7"/>
      <c r="W140" s="7"/>
      <c r="X140" s="7"/>
      <c r="Y140" s="7"/>
      <c r="Z140" s="7"/>
      <c r="AA140" s="7"/>
      <c r="AB140" s="7"/>
      <c r="AC140" s="7"/>
      <c r="AD140" s="3"/>
    </row>
    <row r="141" spans="3:30" ht="15" customHeight="1">
      <c r="W141" s="7"/>
      <c r="X141" s="7"/>
      <c r="Y141" s="7"/>
      <c r="Z141" s="7"/>
      <c r="AA141" s="7"/>
      <c r="AB141" s="7"/>
      <c r="AC141" s="7"/>
      <c r="AD141" s="3"/>
    </row>
    <row r="142" spans="3:30" ht="15" customHeight="1">
      <c r="W142" s="7"/>
      <c r="X142" s="7"/>
      <c r="Y142" s="7"/>
      <c r="Z142" s="7"/>
      <c r="AA142" s="7"/>
      <c r="AB142" s="7"/>
      <c r="AC142" s="7"/>
      <c r="AD142" s="3"/>
    </row>
    <row r="143" spans="3:30" ht="15" customHeight="1">
      <c r="X143" s="7"/>
      <c r="Y143" s="7"/>
      <c r="Z143" s="7"/>
      <c r="AA143" s="7"/>
      <c r="AB143" s="7"/>
      <c r="AC143" s="7"/>
      <c r="AD143" s="3"/>
    </row>
    <row r="144" spans="3:30" ht="15" customHeight="1">
      <c r="X144" s="7"/>
      <c r="Y144" s="7"/>
      <c r="Z144" s="7"/>
      <c r="AA144" s="7"/>
      <c r="AB144" s="7"/>
      <c r="AC144" s="7"/>
      <c r="AD144" s="3"/>
    </row>
    <row r="145" spans="24:30" ht="15" customHeight="1">
      <c r="X145" s="7"/>
      <c r="Y145" s="7"/>
      <c r="Z145" s="7"/>
      <c r="AA145" s="7"/>
      <c r="AB145" s="7"/>
      <c r="AC145" s="7"/>
      <c r="AD145" s="3"/>
    </row>
    <row r="146" spans="24:30" ht="15" customHeight="1">
      <c r="Y146" s="7"/>
      <c r="Z146" s="7"/>
      <c r="AA146" s="7"/>
      <c r="AB146" s="7"/>
      <c r="AC146" s="7"/>
      <c r="AD146" s="3"/>
    </row>
    <row r="147" spans="24:30" ht="15" customHeight="1">
      <c r="Y147" s="7"/>
      <c r="Z147" s="7"/>
      <c r="AA147" s="7"/>
      <c r="AB147" s="7"/>
      <c r="AC147" s="7"/>
      <c r="AD147" s="3"/>
    </row>
    <row r="148" spans="24:30" ht="15" customHeight="1">
      <c r="AD148" s="3"/>
    </row>
    <row r="149" spans="24:30" ht="15" customHeight="1">
      <c r="AD149" s="3"/>
    </row>
    <row r="150" spans="24:30" ht="15" customHeight="1">
      <c r="AD150" s="3"/>
    </row>
    <row r="151" spans="24:30" ht="15" customHeight="1">
      <c r="AD151" s="3"/>
    </row>
    <row r="152" spans="24:30" ht="15" customHeight="1">
      <c r="AD152" s="3"/>
    </row>
    <row r="153" spans="24:30" ht="15" customHeight="1">
      <c r="AD153" s="3"/>
    </row>
    <row r="154" spans="24:30" ht="15" customHeight="1">
      <c r="AD154" s="3"/>
    </row>
    <row r="155" spans="24:30" ht="15" customHeight="1">
      <c r="AD155" s="3"/>
    </row>
    <row r="156" spans="24:30" ht="15" customHeight="1">
      <c r="AD156" s="3"/>
    </row>
    <row r="157" spans="24:30" ht="15" customHeight="1">
      <c r="AD157" s="3"/>
    </row>
    <row r="158" spans="24:30" ht="15" customHeight="1">
      <c r="AD158" s="3"/>
    </row>
    <row r="159" spans="24:30" ht="15" customHeight="1">
      <c r="AD159" s="3"/>
    </row>
    <row r="160" spans="24:30">
      <c r="AD160" s="3"/>
    </row>
    <row r="161" spans="30:30">
      <c r="AD161" s="3"/>
    </row>
    <row r="162" spans="30:30">
      <c r="AD162" s="3"/>
    </row>
  </sheetData>
  <sheetProtection password="B39D" sheet="1" formatCells="0" formatColumns="0" formatRows="0"/>
  <mergeCells count="106">
    <mergeCell ref="X4:X5"/>
    <mergeCell ref="Y4:Y5"/>
    <mergeCell ref="D5:P5"/>
    <mergeCell ref="R5:U5"/>
    <mergeCell ref="T6:U6"/>
    <mergeCell ref="V6:W6"/>
    <mergeCell ref="A1:C5"/>
    <mergeCell ref="D1:P3"/>
    <mergeCell ref="R1:U3"/>
    <mergeCell ref="D4:L4"/>
    <mergeCell ref="M4:P4"/>
    <mergeCell ref="R4:S4"/>
    <mergeCell ref="T4:U4"/>
    <mergeCell ref="AT6:AU6"/>
    <mergeCell ref="AV6:AV7"/>
    <mergeCell ref="J7:K7"/>
    <mergeCell ref="L7:O7"/>
    <mergeCell ref="T7:U7"/>
    <mergeCell ref="V7:W7"/>
    <mergeCell ref="AD7:AG7"/>
    <mergeCell ref="AD6:AG6"/>
    <mergeCell ref="AH6:AI6"/>
    <mergeCell ref="AJ6:AK6"/>
    <mergeCell ref="AL6:AM6"/>
    <mergeCell ref="AO6:AP6"/>
    <mergeCell ref="AQ6:AS7"/>
    <mergeCell ref="B11:O11"/>
    <mergeCell ref="T11:U11"/>
    <mergeCell ref="V11:W11"/>
    <mergeCell ref="AE11:AG11"/>
    <mergeCell ref="T12:U12"/>
    <mergeCell ref="B13:D13"/>
    <mergeCell ref="L8:O8"/>
    <mergeCell ref="T8:U8"/>
    <mergeCell ref="V8:W9"/>
    <mergeCell ref="AD8:AG8"/>
    <mergeCell ref="R9:S10"/>
    <mergeCell ref="T9:U10"/>
    <mergeCell ref="AE9:AG9"/>
    <mergeCell ref="V10:W10"/>
    <mergeCell ref="AE10:AG10"/>
    <mergeCell ref="AF19:AG19"/>
    <mergeCell ref="AE20:AG20"/>
    <mergeCell ref="AH21:AI21"/>
    <mergeCell ref="AJ21:AK21"/>
    <mergeCell ref="AL21:AM21"/>
    <mergeCell ref="B14:D14"/>
    <mergeCell ref="B15:C15"/>
    <mergeCell ref="D15:D16"/>
    <mergeCell ref="E15:F15"/>
    <mergeCell ref="AD15:AD16"/>
    <mergeCell ref="AE15:AF15"/>
    <mergeCell ref="AE16:AF16"/>
    <mergeCell ref="AH22:AI22"/>
    <mergeCell ref="AJ22:AK22"/>
    <mergeCell ref="AL22:AM22"/>
    <mergeCell ref="AQ22:AS22"/>
    <mergeCell ref="AW22:AY22"/>
    <mergeCell ref="AZ22:BB22"/>
    <mergeCell ref="BC22:BE22"/>
    <mergeCell ref="BF22:BH22"/>
    <mergeCell ref="AO18:AP18"/>
    <mergeCell ref="BI22:BK22"/>
    <mergeCell ref="AQ23:AS23"/>
    <mergeCell ref="AQ24:AS24"/>
    <mergeCell ref="AW25:BH25"/>
    <mergeCell ref="BI25:BK25"/>
    <mergeCell ref="BC26:BE26"/>
    <mergeCell ref="BF26:BH26"/>
    <mergeCell ref="BI26:BK26"/>
    <mergeCell ref="AQ21:AS21"/>
    <mergeCell ref="BI21:BK21"/>
    <mergeCell ref="B27:C27"/>
    <mergeCell ref="D27:E27"/>
    <mergeCell ref="B28:F28"/>
    <mergeCell ref="AD28:AD35"/>
    <mergeCell ref="B29:D29"/>
    <mergeCell ref="B30:H30"/>
    <mergeCell ref="I30:J30"/>
    <mergeCell ref="Q30:T30"/>
    <mergeCell ref="Q31:T31"/>
    <mergeCell ref="B32:O33"/>
    <mergeCell ref="B35:O36"/>
    <mergeCell ref="B37:F37"/>
    <mergeCell ref="H37:O37"/>
    <mergeCell ref="B39:D39"/>
    <mergeCell ref="E39:G39"/>
    <mergeCell ref="I39:J39"/>
    <mergeCell ref="Q32:T32"/>
    <mergeCell ref="Q33:T33"/>
    <mergeCell ref="B34:D34"/>
    <mergeCell ref="E34:H34"/>
    <mergeCell ref="I34:K34"/>
    <mergeCell ref="L34:O34"/>
    <mergeCell ref="A45:P45"/>
    <mergeCell ref="A46:P46"/>
    <mergeCell ref="A47:P48"/>
    <mergeCell ref="A49:P49"/>
    <mergeCell ref="BL52:BS56"/>
    <mergeCell ref="A40:I40"/>
    <mergeCell ref="J40:P40"/>
    <mergeCell ref="B41:C41"/>
    <mergeCell ref="D41:O41"/>
    <mergeCell ref="AU41:AV41"/>
    <mergeCell ref="B42:O44"/>
    <mergeCell ref="AU42:AV42"/>
  </mergeCells>
  <conditionalFormatting sqref="W21:W22">
    <cfRule type="cellIs" priority="5" stopIfTrue="1" operator="between">
      <formula>40</formula>
      <formula>400</formula>
    </cfRule>
    <cfRule type="cellIs" priority="6" stopIfTrue="1" operator="between">
      <formula>40</formula>
      <formula>400</formula>
    </cfRule>
  </conditionalFormatting>
  <conditionalFormatting sqref="M16:N17 O16:O21">
    <cfRule type="cellIs" priority="3" stopIfTrue="1" operator="between">
      <formula>40</formula>
      <formula>400</formula>
    </cfRule>
    <cfRule type="cellIs" priority="4" stopIfTrue="1" operator="between">
      <formula>40</formula>
      <formula>400</formula>
    </cfRule>
  </conditionalFormatting>
  <conditionalFormatting sqref="I39:J39">
    <cfRule type="cellIs" dxfId="1" priority="2" operator="lessThan">
      <formula>$E$39</formula>
    </cfRule>
  </conditionalFormatting>
  <conditionalFormatting sqref="E39:G39">
    <cfRule type="cellIs" dxfId="0" priority="1" operator="greaterThan">
      <formula>$I$39</formula>
    </cfRule>
  </conditionalFormatting>
  <printOptions horizontalCentered="1"/>
  <pageMargins left="0.59055118110236227" right="0.39370078740157483" top="0.59055118110236227" bottom="0.59055118110236227" header="0" footer="0.19685039370078741"/>
  <pageSetup scale="99" fitToWidth="0" fitToHeight="0"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www.umv.gov.co&amp;C&amp;"Arial,Normal"&amp;6Página 1 de 1</oddFooter>
  </headerFooter>
  <rowBreaks count="1" manualBreakCount="1">
    <brk id="48" max="15" man="1"/>
  </rowBreaks>
  <colBreaks count="1" manualBreakCount="1">
    <brk id="24" min="2" max="57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>
          <x14:formula1>
            <xm:f>'D:\Laboratorio\1. Calidad\1. GLAB\1. Formatos\1. Formatos de informe\2. Apiques\[Apiques sep 2021.xlsx]1. Encabezado'!#REF!</xm:f>
          </x14:formula1>
          <x14:formula2>
            <xm:f>'D:\Laboratorio\1. Calidad\1. GLAB\1. Formatos\1. Formatos de informe\2. Apiques\[Apiques sep 2021.xlsx]1. Encabezado'!#REF!</xm:f>
          </x14:formula2>
          <xm:sqref>I39:J39</xm:sqref>
        </x14:dataValidation>
        <x14:dataValidation type="date" allowBlank="1" showInputMessage="1" showErrorMessage="1">
          <x14:formula1>
            <xm:f>'D:\Laboratorio\1. Calidad\1. GLAB\1. Formatos\1. Formatos de informe\2. Apiques\[Apiques sep 2021.xlsx]1. Encabezado'!#REF!</xm:f>
          </x14:formula1>
          <x14:formula2>
            <xm:f>'D:\Laboratorio\1. Calidad\1. GLAB\1. Formatos\1. Formatos de informe\2. Apiques\[Apiques sep 2021.xlsx]1. Encabezado'!#REF!</xm:f>
          </x14:formula2>
          <xm:sqref>E39:G39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 Clasificación M1</vt:lpstr>
      <vt:lpstr>'6. Clasificación M1'!Área_de_impresión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Karen Daniela Flórez Barón</cp:lastModifiedBy>
  <cp:lastPrinted>2022-09-02T18:07:28Z</cp:lastPrinted>
  <dcterms:created xsi:type="dcterms:W3CDTF">2021-09-03T15:59:46Z</dcterms:created>
  <dcterms:modified xsi:type="dcterms:W3CDTF">2022-09-03T16:26:58Z</dcterms:modified>
</cp:coreProperties>
</file>